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G42" i="26"/>
  <c r="D10" i="19" l="1"/>
  <c r="K14" i="19" l="1"/>
  <c r="K6" i="19"/>
  <c r="K19" i="19"/>
  <c r="K16" i="19"/>
  <c r="K22" i="19"/>
  <c r="K26" i="19"/>
  <c r="K7" i="19"/>
  <c r="K25" i="19"/>
  <c r="K20" i="19"/>
  <c r="K27" i="19"/>
  <c r="K13" i="19"/>
  <c r="K9" i="19"/>
  <c r="K4" i="19"/>
  <c r="K3" i="19"/>
  <c r="K17" i="19"/>
  <c r="K23" i="19"/>
  <c r="K21" i="19"/>
  <c r="K10" i="19"/>
  <c r="K11" i="19"/>
  <c r="K12" i="19"/>
  <c r="K18" i="19"/>
  <c r="K15" i="19"/>
  <c r="K24" i="19"/>
  <c r="K8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" i="19"/>
  <c r="J5" i="19"/>
  <c r="I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6" i="19"/>
  <c r="J19" i="19"/>
  <c r="J16" i="19"/>
  <c r="J22" i="19"/>
  <c r="J26" i="19"/>
  <c r="J7" i="19"/>
  <c r="J25" i="19"/>
  <c r="J20" i="19"/>
  <c r="J27" i="19"/>
  <c r="J13" i="19"/>
  <c r="J9" i="19"/>
  <c r="J4" i="19"/>
  <c r="J3" i="19"/>
  <c r="J17" i="19"/>
  <c r="J23" i="19"/>
  <c r="J21" i="19"/>
  <c r="J10" i="19"/>
  <c r="J11" i="19"/>
  <c r="J12" i="19"/>
  <c r="J18" i="19"/>
  <c r="J15" i="19"/>
  <c r="J24" i="19"/>
  <c r="J8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4" i="19"/>
  <c r="I14" i="19"/>
  <c r="I6" i="19"/>
  <c r="I19" i="19"/>
  <c r="I16" i="19"/>
  <c r="I22" i="19"/>
  <c r="I26" i="19"/>
  <c r="I7" i="19"/>
  <c r="I25" i="19"/>
  <c r="I20" i="19"/>
  <c r="I27" i="19"/>
  <c r="I13" i="19"/>
  <c r="I9" i="19"/>
  <c r="I4" i="19"/>
  <c r="I3" i="19"/>
  <c r="I17" i="19"/>
  <c r="I23" i="19"/>
  <c r="I21" i="19"/>
  <c r="I10" i="19"/>
  <c r="I11" i="19"/>
  <c r="I12" i="19"/>
  <c r="I18" i="19"/>
  <c r="I15" i="19"/>
  <c r="I24" i="19"/>
  <c r="I8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AC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6" i="7" l="1"/>
  <c r="AD5" i="7"/>
  <c r="AB3" i="7"/>
  <c r="AD3" i="8"/>
  <c r="AC3" i="6"/>
  <c r="AD5" i="24"/>
  <c r="AD3" i="5"/>
  <c r="AD6" i="5"/>
  <c r="O5" i="5"/>
  <c r="AD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P3" i="7" s="1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AD4" i="7" s="1"/>
  <c r="F6" i="7"/>
  <c r="AN4" i="7"/>
  <c r="AK4" i="7" s="1"/>
  <c r="AK5" i="7"/>
  <c r="AG4" i="7"/>
  <c r="P4" i="7" s="1"/>
  <c r="AG4" i="6"/>
  <c r="P4" i="6" s="1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B6" i="7" l="1"/>
  <c r="N6" i="7"/>
  <c r="N4" i="8"/>
  <c r="AD3" i="24"/>
  <c r="N6" i="24"/>
  <c r="R6" i="24" s="1"/>
  <c r="N4" i="24"/>
  <c r="R4" i="24" s="1"/>
  <c r="O3" i="24"/>
  <c r="AC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7" l="1"/>
  <c r="R3" i="7"/>
  <c r="R4" i="8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" i="19"/>
  <c r="D45" i="36" l="1"/>
  <c r="D46" i="36"/>
  <c r="D38" i="36"/>
  <c r="D37" i="36"/>
  <c r="D4" i="1"/>
  <c r="C3" i="37" s="1"/>
  <c r="M22" i="19"/>
  <c r="M26" i="19"/>
  <c r="M7" i="19"/>
  <c r="M25" i="19"/>
  <c r="M20" i="19"/>
  <c r="M27" i="19"/>
  <c r="M13" i="19"/>
  <c r="M9" i="19"/>
  <c r="M4" i="19"/>
  <c r="M3" i="19"/>
  <c r="M17" i="19"/>
  <c r="M23" i="19"/>
  <c r="M21" i="19"/>
  <c r="M10" i="19"/>
  <c r="M11" i="19"/>
  <c r="M12" i="19"/>
  <c r="M18" i="19"/>
  <c r="M15" i="19"/>
  <c r="M24" i="19"/>
  <c r="M8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4" i="19"/>
  <c r="M6" i="19"/>
  <c r="M19" i="19"/>
  <c r="M1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AD5" i="23" s="1"/>
  <c r="J6" i="23"/>
  <c r="AD6" i="23" s="1"/>
  <c r="H3" i="23"/>
  <c r="G4" i="23"/>
  <c r="I3" i="23"/>
  <c r="F4" i="23"/>
  <c r="AB4" i="23" s="1"/>
  <c r="L4" i="23"/>
  <c r="I6" i="23"/>
  <c r="M4" i="23"/>
  <c r="H6" i="23"/>
  <c r="G5" i="23"/>
  <c r="O5" i="23" s="1"/>
  <c r="J3" i="23"/>
  <c r="F5" i="23"/>
  <c r="N5" i="23" s="1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4" i="23" l="1"/>
  <c r="O4" i="23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3" i="26" l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<sst xmlns="http://schemas.openxmlformats.org/spreadsheetml/2006/main" count="2516" uniqueCount="848">
  <si>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</si>
  <si>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</si>
  <si>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</si>
  <si>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</si>
  <si>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</si>
  <si>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</si>
  <si>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</si>
  <si>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</si>
  <si>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</si>
  <si>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</si>
  <si>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</si>
  <si>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</si>
  <si>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</si>
  <si>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</si>
  <si>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</si>
  <si>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</si>
  <si>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</si>
  <si>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</si>
  <si>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</si>
  <si>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</si>
  <si>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</si>
  <si>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</si>
  <si>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</si>
  <si>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</si>
  <si>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</si>
  <si>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</si>
  <si>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</si>
  <si>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</si>
  <si>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</si>
  <si>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</si>
  <si>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</si>
  <si>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</si>
  <si>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</si>
  <si>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</si>
  <si>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</si>
  <si>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</si>
  <si>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</si>
  <si>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</si>
  <si>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</si>
  <si>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</si>
  <si>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</si>
  <si>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</si>
  <si>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</si>
  <si>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</si>
  <si>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</si>
  <si>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</si>
  <si>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</si>
  <si>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</si>
  <si>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</si>
  <si>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</si>
  <si>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</si>
  <si>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</si>
  <si>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</si>
  <si>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</si>
  <si>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</si>
  <si>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</si>
  <si>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</si>
  <si>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</si>
  <si>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</si>
  <si>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</si>
  <si>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</si>
  <si>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</si>
  <si>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</si>
  <si>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</si>
  <si>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</si>
  <si>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</si>
  <si>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</si>
  <si>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</si>
  <si>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</si>
  <si>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</si>
  <si>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</si>
  <si>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</si>
  <si>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</si>
  <si>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</si>
  <si>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</si>
  <si>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</si>
  <si>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</si>
  <si>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</si>
  <si>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</si>
  <si>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</si>
  <si>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</si>
  <si>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</si>
  <si>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</si>
  <si>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</si>
  <si>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</si>
  <si>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</si>
  <si>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</si>
  <si>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</si>
  <si>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</si>
  <si>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</si>
  <si>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</si>
  <si>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</si>
  <si>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</si>
  <si>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</si>
  <si>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</si>
  <si>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</si>
  <si>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</si>
  <si>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</si>
  <si>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</si>
  <si>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</si>
  <si>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</si>
  <si>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</si>
  <si>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</si>
  <si>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</si>
  <si>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</si>
  <si>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</si>
  <si>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</si>
  <si>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</si>
  <si>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</si>
  <si>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</si>
  <si>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</si>
  <si>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</si>
  <si>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</si>
  <si>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</si>
  <si>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</si>
  <si>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</si>
  <si>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</si>
  <si>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</si>
  <si>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</si>
  <si>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</si>
  <si>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</si>
  <si>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</si>
  <si>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</si>
  <si>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</si>
  <si>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</si>
  <si>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</si>
  <si>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</si>
  <si>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</si>
  <si>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</si>
  <si>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</si>
  <si>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</si>
  <si>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</si>
  <si>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</si>
  <si>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</si>
  <si>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</si>
  <si>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</si>
  <si>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</si>
  <si>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</si>
  <si>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</si>
  <si>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</si>
  <si>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</si>
  <si>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</si>
  <si>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</si>
  <si>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</si>
  <si>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</si>
  <si>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</si>
  <si>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</si>
  <si>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</si>
  <si>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</si>
  <si>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</si>
  <si>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</si>
  <si>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</si>
  <si>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</si>
  <si>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</si>
  <si>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</si>
  <si>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</si>
  <si>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</si>
  <si>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</si>
  <si>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</si>
  <si>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</si>
  <si>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</si>
  <si>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</si>
  <si>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</si>
  <si>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</si>
  <si>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</si>
  <si>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</si>
  <si>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</si>
  <si>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</si>
  <si>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</si>
  <si>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</si>
  <si>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</si>
  <si>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</si>
  <si>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</si>
  <si>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</si>
  <si>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</si>
  <si>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</si>
  <si>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</si>
  <si>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</si>
  <si>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</si>
  <si>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</si>
  <si>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</si>
  <si>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</si>
  <si>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</si>
  <si>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</si>
  <si>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</si>
  <si>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</si>
  <si>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</si>
  <si>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</si>
  <si>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</si>
  <si>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</si>
  <si>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</si>
  <si>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</si>
  <si>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</si>
  <si>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</si>
  <si>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</si>
  <si>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</si>
  <si>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</si>
  <si>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</si>
  <si>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</si>
  <si>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</si>
  <si>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</si>
  <si>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</si>
  <si>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</si>
  <si>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</si>
  <si>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</si>
  <si>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</si>
  <si>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</si>
  <si>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</si>
  <si>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</si>
  <si>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</si>
  <si>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</si>
  <si>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</si>
  <si>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</si>
  <si>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</si>
  <si>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</si>
  <si>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</si>
  <si>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</si>
  <si>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</si>
  <si>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</si>
  <si>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</si>
  <si>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</si>
  <si>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</si>
  <si>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</si>
  <si>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</si>
  <si>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</si>
  <si>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</si>
  <si>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</si>
  <si>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</si>
  <si>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</si>
  <si>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</si>
  <si>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</si>
  <si>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</si>
  <si>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</si>
  <si>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</si>
  <si>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</si>
  <si>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</si>
  <si>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</si>
  <si>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</si>
  <si>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</si>
  <si>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</si>
  <si>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</si>
  <si>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</si>
  <si>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</si>
  <si>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</si>
  <si>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</si>
  <si>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</si>
  <si>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</si>
  <si>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</si>
  <si>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</si>
  <si>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</si>
  <si>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</si>
  <si>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</si>
  <si>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</si>
  <si>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</si>
  <si>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</si>
  <si>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</si>
  <si>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</si>
  <si>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</si>
  <si>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</si>
  <si>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</si>
  <si>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</si>
  <si>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</si>
  <si>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</si>
  <si>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</si>
  <si>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</si>
  <si>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</si>
  <si>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</si>
  <si>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</si>
  <si>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</si>
  <si>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</si>
  <si>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</si>
  <si>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</si>
  <si>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</si>
  <si>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</si>
  <si>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</si>
  <si>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</si>
  <si>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</si>
  <si>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</si>
  <si>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</si>
  <si>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</si>
  <si>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</si>
  <si>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</si>
  <si>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</si>
  <si>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</si>
  <si>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</si>
  <si>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</si>
  <si>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</si>
  <si>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</si>
  <si>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</si>
  <si>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</si>
  <si>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</si>
  <si>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</si>
  <si>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</si>
  <si>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</si>
  <si>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</si>
  <si>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</si>
  <si>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</si>
  <si>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</si>
  <si>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</si>
  <si>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</si>
  <si>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</si>
  <si>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</si>
  <si>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</si>
  <si>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</si>
  <si>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</si>
  <si>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</si>
  <si>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</si>
  <si>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</si>
  <si>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</si>
  <si>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</si>
  <si>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</si>
  <si>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</si>
  <si>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</si>
  <si>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</si>
  <si>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</si>
  <si>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</si>
  <si>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</si>
  <si>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</si>
  <si>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</si>
  <si>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</si>
  <si>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</si>
  <si>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</si>
  <si>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</si>
  <si>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</si>
  <si>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</si>
  <si>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</si>
  <si>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</si>
  <si>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</si>
  <si>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</si>
  <si>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</si>
  <si>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</si>
  <si>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</si>
  <si>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</si>
  <si>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</si>
  <si>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</si>
  <si>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</si>
  <si>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</si>
  <si>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</si>
  <si>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</si>
  <si>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</si>
  <si>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</si>
  <si>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</si>
  <si>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</si>
  <si>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</si>
  <si>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</si>
  <si>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</si>
  <si>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</si>
  <si>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</si>
  <si>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</si>
  <si>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</si>
  <si>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</si>
  <si>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</si>
  <si>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</si>
  <si>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</si>
  <si>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</si>
  <si>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</si>
  <si>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</si>
  <si>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</si>
  <si>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</si>
  <si>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</si>
  <si>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</si>
  <si>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</si>
  <si>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</si>
  <si>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</si>
  <si>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</si>
  <si>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</si>
  <si>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</si>
  <si>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</si>
  <si>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</si>
  <si>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</si>
  <si>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</si>
  <si>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</si>
  <si>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</si>
  <si>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</si>
  <si>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</si>
  <si>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</si>
  <si>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</si>
  <si>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</si>
  <si>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</si>
  <si>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</si>
  <si>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</si>
  <si>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</si>
  <si>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</si>
  <si>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</si>
  <si>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</si>
  <si>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</si>
  <si>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</si>
  <si>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</si>
  <si>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</si>
  <si>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</si>
  <si>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</si>
  <si>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</si>
  <si>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</si>
  <si>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</si>
  <si>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</si>
  <si>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</si>
  <si>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</si>
  <si>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</si>
  <si>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</si>
  <si>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</si>
  <si>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</si>
  <si>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</si>
  <si>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</si>
  <si>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</si>
  <si>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</si>
  <si>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</si>
  <si>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</si>
  <si>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</si>
  <si>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</si>
  <si>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</si>
  <si>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</si>
  <si>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</si>
  <si>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</si>
  <si>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</si>
  <si>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</si>
  <si>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</si>
  <si>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</si>
  <si>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</si>
  <si>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</si>
  <si>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</si>
  <si>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</si>
  <si>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</si>
  <si>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</si>
  <si>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</si>
  <si>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</si>
  <si>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</si>
  <si>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</si>
  <si>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</si>
  <si>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</si>
  <si>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</si>
  <si>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</si>
  <si>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</si>
  <si>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</si>
  <si>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</si>
  <si>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</si>
  <si>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</si>
  <si>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</si>
  <si>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</si>
  <si>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</si>
  <si>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</si>
  <si>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</si>
  <si>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</si>
  <si>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</si>
  <si>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</si>
  <si>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</si>
  <si>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</si>
  <si>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</si>
  <si>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</si>
  <si>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</si>
  <si>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</si>
  <si>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</si>
  <si>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</si>
  <si>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</si>
  <si>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</si>
  <si>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</si>
  <si>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</si>
  <si>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</si>
  <si>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</si>
  <si>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</si>
  <si>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</si>
  <si>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</si>
  <si>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</si>
  <si>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</si>
  <si>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</si>
  <si>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</si>
  <si>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</si>
  <si>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</si>
  <si>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</si>
  <si>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</si>
  <si>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</si>
  <si>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</si>
  <si>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</si>
  <si>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</si>
  <si>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</si>
  <si>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</si>
  <si>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</si>
  <si>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</si>
  <si>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</si>
  <si>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</si>
  <si>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</si>
  <si>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</si>
  <si>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</si>
  <si>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</si>
  <si>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</si>
  <si>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</si>
  <si>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</si>
  <si>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</si>
  <si>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</si>
  <si>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</si>
  <si>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</si>
  <si>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</si>
  <si>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</si>
  <si>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</si>
  <si>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</si>
  <si>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</si>
  <si>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</si>
  <si>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</si>
  <si>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</si>
  <si>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</si>
  <si>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</si>
  <si>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</si>
  <si>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</si>
  <si>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</si>
  <si>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</si>
  <si>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</si>
  <si>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</si>
  <si>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</si>
  <si>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</si>
  <si>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</si>
  <si>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</si>
  <si>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</si>
  <si>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</si>
  <si>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</si>
  <si>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</si>
  <si>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</si>
  <si>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</si>
  <si>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</si>
  <si>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</si>
  <si>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</si>
  <si>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</si>
  <si>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</si>
  <si>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</si>
  <si>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</si>
  <si>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</si>
  <si>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</si>
  <si>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</si>
  <si>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</si>
  <si>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</si>
  <si>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</si>
  <si>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</si>
  <si>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</si>
  <si>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</si>
  <si>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</si>
  <si>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</si>
  <si>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</si>
  <si>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</si>
  <si>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</si>
  <si>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</si>
  <si>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</si>
  <si>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</si>
  <si>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</si>
  <si>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</si>
  <si>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</si>
  <si>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</si>
  <si>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</si>
  <si>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</si>
  <si>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</si>
  <si>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</si>
  <si>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</si>
  <si>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</si>
  <si>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</si>
  <si>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</si>
  <si>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</si>
  <si>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</si>
  <si>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</si>
  <si>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</si>
  <si>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</si>
  <si>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</si>
  <si>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</si>
  <si>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</si>
  <si>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</si>
  <si>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</si>
  <si>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</si>
  <si>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</si>
  <si>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</si>
  <si>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</si>
  <si>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</si>
  <si>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</si>
  <si>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</si>
  <si>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</si>
  <si>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</si>
  <si>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</si>
  <si>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</si>
  <si>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</si>
  <si>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</si>
  <si>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</si>
  <si>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</si>
  <si>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</si>
  <si>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</si>
  <si>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</si>
  <si>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</si>
  <si>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</si>
  <si>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</si>
  <si>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</si>
  <si>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</si>
  <si>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</si>
  <si>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</si>
  <si>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</si>
  <si>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</si>
  <si>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</si>
  <si>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</si>
  <si>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</si>
  <si>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</si>
  <si>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</si>
  <si>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</si>
  <si>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</si>
  <si>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</si>
  <si>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</si>
  <si>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</si>
  <si>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</si>
  <si>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</si>
  <si>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</si>
  <si>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</si>
  <si>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</si>
  <si>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</si>
  <si>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</si>
  <si>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</si>
  <si>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</si>
  <si>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</si>
  <si>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</si>
  <si>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</si>
  <si>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</si>
  <si>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</si>
  <si>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</si>
  <si>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</si>
  <si>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</si>
  <si>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</si>
  <si>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</si>
  <si>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</si>
  <si>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</si>
  <si>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</si>
  <si>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</si>
  <si>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</si>
  <si>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</si>
  <si>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</si>
  <si>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</si>
  <si>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</si>
  <si>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</si>
  <si>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</si>
  <si>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</si>
  <si>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</si>
  <si>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</si>
  <si>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</si>
  <si>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</si>
  <si>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</si>
  <si>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</si>
  <si>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</si>
  <si>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</si>
  <si>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</si>
  <si>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</si>
  <si>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</si>
  <si>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</si>
  <si>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</si>
  <si>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</si>
  <si>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</si>
  <si>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</si>
  <si>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</si>
  <si>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</si>
  <si>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</si>
  <si>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</si>
  <si>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</si>
  <si>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</si>
  <si>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</si>
  <si>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</si>
  <si>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</si>
  <si>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</si>
  <si>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</si>
  <si>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</si>
  <si>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</si>
  <si>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</si>
  <si>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</si>
  <si>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</si>
  <si>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</si>
  <si>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</si>
  <si>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</si>
  <si>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</si>
  <si>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</si>
  <si>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</si>
  <si>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</si>
  <si>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</si>
  <si>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</si>
  <si>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</si>
  <si>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</si>
  <si>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</si>
  <si>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</si>
  <si>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</si>
  <si>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</si>
  <si>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</si>
  <si>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</si>
  <si>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</si>
  <si>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</si>
  <si>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</si>
  <si>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</si>
  <si>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</si>
  <si>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</si>
  <si>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</si>
  <si>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</si>
  <si>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</si>
  <si>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</si>
  <si>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</si>
  <si>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</si>
  <si>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</si>
  <si>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</si>
  <si>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</si>
  <si>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</si>
  <si>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</si>
  <si>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</si>
  <si>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</si>
  <si>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</si>
  <si>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</si>
  <si>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</si>
  <si>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</si>
  <si>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</si>
  <si>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</si>
  <si>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</si>
  <si>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</si>
  <si>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</si>
  <si>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</si>
  <si>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</si>
  <si>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</si>
  <si>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</si>
  <si>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</si>
  <si>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</si>
  <si>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</si>
  <si>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</si>
  <si>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</si>
  <si>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</si>
  <si>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</si>
  <si>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</si>
  <si>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</si>
  <si>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</si>
  <si>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</si>
  <si>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</si>
  <si>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</si>
  <si>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</si>
  <si>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</si>
  <si>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</si>
  <si>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</si>
  <si>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</si>
  <si>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</si>
  <si>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</si>
  <si>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</si>
  <si>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</si>
  <si>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</si>
  <si>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</si>
  <si>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</si>
  <si>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</si>
  <si>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</si>
  <si>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</si>
  <si>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</si>
  <si>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</si>
  <si>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</si>
  <si>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</si>
  <si>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</si>
  <si>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</si>
  <si>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</si>
  <si>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</si>
  <si>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</si>
  <si>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</si>
  <si>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</si>
  <si>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</si>
  <si>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</si>
  <si>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</si>
  <si>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</si>
  <si>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</si>
  <si>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</si>
  <si>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</si>
  <si>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</si>
  <si>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</si>
  <si>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</si>
  <si>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</si>
  <si>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</si>
  <si>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</si>
  <si>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</si>
  <si>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</si>
  <si>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</si>
  <si>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</si>
  <si>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</si>
  <si>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</si>
  <si>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</si>
  <si>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</si>
  <si>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</si>
  <si>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</si>
  <si>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</si>
  <si>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</si>
  <si>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</si>
  <si>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</si>
  <si>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</si>
  <si>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</si>
  <si>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</si>
  <si>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</si>
  <si>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</si>
  <si>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</si>
  <si>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</si>
  <si>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</si>
  <si>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</si>
  <si>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</si>
  <si>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</si>
  <si>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</si>
  <si>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</si>
  <si>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</si>
  <si>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</si>
  <si>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</si>
  <si>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</si>
  <si>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</si>
  <si>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</si>
  <si>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</si>
  <si>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</si>
  <si>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</si>
  <si>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</si>
  <si>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</si>
  <si>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</si>
  <si>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</si>
  <si>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</si>
  <si>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</si>
  <si>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</si>
  <si>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</si>
  <si>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</si>
  <si>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</si>
  <si>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</si>
  <si>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</si>
  <si>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</si>
  <si>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</si>
  <si>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</si>
  <si>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</si>
  <si>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</si>
  <si>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</si>
  <si>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</si>
  <si>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</si>
  <si>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</si>
  <si>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</si>
  <si>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</si>
  <si>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</si>
  <si>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</si>
  <si>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</si>
  <si>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</si>
  <si>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</si>
  <si>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</si>
  <si>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</si>
  <si>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</si>
  <si>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</si>
  <si>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</si>
  <si>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</si>
  <si>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</si>
  <si>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</si>
  <si>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</si>
  <si>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</si>
  <si>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</si>
  <si>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</si>
  <si>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</si>
  <si>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</si>
  <si>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</si>
  <si>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</si>
  <si>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</si>
  <si>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</si>
  <si>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</si>
  <si>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Лука Стојчев (73)</t>
  </si>
  <si>
    <t>Александар Јакимовски (178)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</si>
</sst>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S21" sqref="S2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Нико Доага (190)</v>
      </c>
      <c r="E3" s="294" t="str">
        <f>IF(D3="","",INDEX($J$3:$J$42,MATCH(C3,$G$3:$G$42,0)))</f>
        <v>Младост</v>
      </c>
      <c r="F3" s="299">
        <v>15</v>
      </c>
      <c r="G3" s="250">
        <v>1</v>
      </c>
      <c r="H3" s="36">
        <v>190</v>
      </c>
      <c r="I3" s="300" t="str">
        <f>IF(ISERROR(VLOOKUP(H3,Baza!A:C,2,FALSE)&amp;" "&amp;"("&amp;H3&amp;")"),"",(VLOOKUP(H3,Baza!A:C,2,FALSE)&amp;" "&amp;"("&amp;H3&amp;")"))</f>
        <v>Нико Доага (190)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15</v>
      </c>
      <c r="O3" s="250">
        <v>993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Лука Огненоски (15)</v>
      </c>
      <c r="E4" s="288" t="str">
        <f t="shared" ref="E4:E66" si="2">IF(D4="","",INDEX($J$3:$J$42,MATCH(C4,$G$3:$G$42,0)))</f>
        <v>Младост 96</v>
      </c>
      <c r="F4" s="284">
        <v>14</v>
      </c>
      <c r="G4" s="243">
        <v>5</v>
      </c>
      <c r="H4" s="36">
        <v>178</v>
      </c>
      <c r="I4" s="252" t="str">
        <f>IF(ISERROR(VLOOKUP(H4,Baza!A:C,2,FALSE)&amp;" "&amp;"("&amp;H4&amp;")"),"",(VLOOKUP(H4,Baza!A:C,2,FALSE)&amp;" "&amp;"("&amp;H4&amp;")"))</f>
        <v>Александар Јакимовски (178)</v>
      </c>
      <c r="J4" s="252" t="str">
        <f>IF(ISERROR(VLOOKUP(H4,Baza!A:C,3,FALSE)),"",(VLOOKUP(H4,Baza!A:C,3,FALSE)))</f>
        <v>Крива Паланка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14</v>
      </c>
      <c r="O4" s="243">
        <v>647</v>
      </c>
    </row>
    <row r="5" spans="2:17">
      <c r="B5" s="350"/>
      <c r="C5" s="265">
        <v>3</v>
      </c>
      <c r="D5" s="287" t="str">
        <f t="shared" si="1"/>
        <v>Кристијан Митев (420)</v>
      </c>
      <c r="E5" s="288" t="str">
        <f t="shared" si="2"/>
        <v>Пелагонија</v>
      </c>
      <c r="F5" s="284">
        <v>1</v>
      </c>
      <c r="G5" s="243">
        <v>9</v>
      </c>
      <c r="H5" s="36">
        <v>130</v>
      </c>
      <c r="I5" s="252" t="str">
        <f>IF(ISERROR(VLOOKUP(H5,Baza!A:C,2,FALSE)&amp;" "&amp;"("&amp;H5&amp;")"),"",(VLOOKUP(H5,Baza!A:C,2,FALSE)&amp;" "&amp;"("&amp;H5&amp;")"))</f>
        <v>Борис Секулов (130)</v>
      </c>
      <c r="J5" s="252" t="str">
        <f>IF(ISERROR(VLOOKUP(H5,Baza!A:C,3,FALSE)),"",(VLOOKUP(H5,Baza!A:C,3,FALSE)))</f>
        <v>Астраион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</v>
      </c>
      <c r="O5" s="243">
        <v>594</v>
      </c>
    </row>
    <row r="6" spans="2:17" ht="16.2" thickBot="1">
      <c r="B6" s="353"/>
      <c r="C6" s="268">
        <v>4</v>
      </c>
      <c r="D6" s="291" t="str">
        <f t="shared" si="1"/>
        <v>Петар Јуришиќ (361)</v>
      </c>
      <c r="E6" s="292" t="str">
        <f t="shared" si="2"/>
        <v>Дебар Маало</v>
      </c>
      <c r="F6" s="284">
        <v>3</v>
      </c>
      <c r="G6" s="243">
        <v>13</v>
      </c>
      <c r="H6" s="36">
        <v>73</v>
      </c>
      <c r="I6" s="252" t="str">
        <f>IF(ISERROR(VLOOKUP(H6,Baza!A:C,2,FALSE)&amp;" "&amp;"("&amp;H6&amp;")"),"",(VLOOKUP(H6,Baza!A:C,2,FALSE)&amp;" "&amp;"("&amp;H6&amp;")"))</f>
        <v>Лука Стојчев (73)</v>
      </c>
      <c r="J6" s="252" t="str">
        <f>IF(ISERROR(VLOOKUP(H6,Baza!A:C,3,FALSE)),"",(VLOOKUP(H6,Baza!A:C,3,FALSE)))</f>
        <v xml:space="preserve">Младост 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3</v>
      </c>
      <c r="O6" s="243">
        <v>581</v>
      </c>
    </row>
    <row r="7" spans="2:17">
      <c r="B7" s="349" t="s">
        <v>63</v>
      </c>
      <c r="C7" s="264">
        <v>5</v>
      </c>
      <c r="D7" s="285" t="str">
        <f t="shared" si="1"/>
        <v>Александар Јакимовски (178)</v>
      </c>
      <c r="E7" s="286" t="str">
        <f t="shared" si="2"/>
        <v>Крива Паланка</v>
      </c>
      <c r="F7" s="284">
        <v>8</v>
      </c>
      <c r="G7" s="243">
        <v>17</v>
      </c>
      <c r="H7" s="36">
        <v>299</v>
      </c>
      <c r="I7" s="252" t="str">
        <f>IF(ISERROR(VLOOKUP(H7,Baza!A:C,2,FALSE)&amp;" "&amp;"("&amp;H7&amp;")"),"",(VLOOKUP(H7,Baza!A:C,2,FALSE)&amp;" "&amp;"("&amp;H7&amp;")"))</f>
        <v>Филип Ангела (299)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8</v>
      </c>
      <c r="O7" s="243">
        <v>365</v>
      </c>
    </row>
    <row r="8" spans="2:17">
      <c r="B8" s="350"/>
      <c r="C8" s="265">
        <v>6</v>
      </c>
      <c r="D8" s="287" t="str">
        <f t="shared" si="1"/>
        <v>Дарко Китановски (499)</v>
      </c>
      <c r="E8" s="288" t="str">
        <f t="shared" si="2"/>
        <v>Пелагонија</v>
      </c>
      <c r="F8" s="284">
        <v>25</v>
      </c>
      <c r="G8" s="243">
        <v>21</v>
      </c>
      <c r="H8" s="36">
        <v>404</v>
      </c>
      <c r="I8" s="252" t="str">
        <f>IF(ISERROR(VLOOKUP(H8,Baza!A:C,2,FALSE)&amp;" "&amp;"("&amp;H8&amp;")"),"",(VLOOKUP(H8,Baza!A:C,2,FALSE)&amp;" "&amp;"("&amp;H8&amp;")"))</f>
        <v>Љупчо Треновски (404)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25</v>
      </c>
      <c r="O8" s="243">
        <v>334</v>
      </c>
    </row>
    <row r="9" spans="2:17">
      <c r="B9" s="350"/>
      <c r="C9" s="265">
        <v>7</v>
      </c>
      <c r="D9" s="287" t="str">
        <f t="shared" si="1"/>
        <v>Трајче Маркоски (384)</v>
      </c>
      <c r="E9" s="288" t="str">
        <f t="shared" si="2"/>
        <v>Младост 96</v>
      </c>
      <c r="F9" s="284">
        <v>13</v>
      </c>
      <c r="G9" s="243">
        <v>22</v>
      </c>
      <c r="H9" s="36">
        <v>47</v>
      </c>
      <c r="I9" s="252" t="str">
        <f>IF(ISERROR(VLOOKUP(H9,Baza!A:C,2,FALSE)&amp;" "&amp;"("&amp;H9&amp;")"),"",(VLOOKUP(H9,Baza!A:C,2,FALSE)&amp;" "&amp;"("&amp;H9&amp;")"))</f>
        <v>Андреј Стојановски (47)</v>
      </c>
      <c r="J9" s="252" t="str">
        <f>IF(ISERROR(VLOOKUP(H9,Baza!A:C,3,FALSE)),"",(VLOOKUP(H9,Baza!A:C,3,FALSE)))</f>
        <v>10 60 АС Ѓорче Петров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13</v>
      </c>
      <c r="O9" s="243">
        <v>186</v>
      </c>
      <c r="Q9" s="324"/>
    </row>
    <row r="10" spans="2:17" ht="16.2" thickBot="1">
      <c r="B10" s="351"/>
      <c r="C10" s="266">
        <v>8</v>
      </c>
      <c r="D10" s="289" t="str">
        <f t="shared" si="1"/>
        <v>Вања Спасиќ (448)</v>
      </c>
      <c r="E10" s="290" t="str">
        <f t="shared" si="2"/>
        <v>Дебар Маало</v>
      </c>
      <c r="F10" s="284">
        <v>19</v>
      </c>
      <c r="G10" s="243">
        <v>14</v>
      </c>
      <c r="H10" s="36">
        <v>144</v>
      </c>
      <c r="I10" s="252" t="str">
        <f>IF(ISERROR(VLOOKUP(H10,Baza!A:C,2,FALSE)&amp;" "&amp;"("&amp;H10&amp;")"),"",(VLOOKUP(H10,Baza!A:C,2,FALSE)&amp;" "&amp;"("&amp;H10&amp;")"))</f>
        <v>Антонио Аврамски (144)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19</v>
      </c>
      <c r="O10" s="243">
        <v>144</v>
      </c>
      <c r="Q10" s="324"/>
    </row>
    <row r="11" spans="2:17">
      <c r="B11" s="352" t="s">
        <v>64</v>
      </c>
      <c r="C11" s="267">
        <v>9</v>
      </c>
      <c r="D11" s="293" t="str">
        <f t="shared" si="1"/>
        <v>Борис Секулов (130)</v>
      </c>
      <c r="E11" s="294" t="str">
        <f t="shared" si="2"/>
        <v>Астраион</v>
      </c>
      <c r="F11" s="284">
        <v>20</v>
      </c>
      <c r="G11" s="243">
        <v>18</v>
      </c>
      <c r="H11" s="36">
        <v>347</v>
      </c>
      <c r="I11" s="252" t="str">
        <f>IF(ISERROR(VLOOKUP(H11,Baza!A:C,2,FALSE)&amp;" "&amp;"("&amp;H11&amp;")"),"",(VLOOKUP(H11,Baza!A:C,2,FALSE)&amp;" "&amp;"("&amp;H11&amp;")"))</f>
        <v>Кристијан Каламадевски (347)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20</v>
      </c>
      <c r="O11" s="243">
        <v>144</v>
      </c>
      <c r="Q11" s="324"/>
    </row>
    <row r="12" spans="2:17">
      <c r="B12" s="350"/>
      <c r="C12" s="265">
        <v>10</v>
      </c>
      <c r="D12" s="287" t="str">
        <f t="shared" si="1"/>
        <v>Антонио Вељановски (261)</v>
      </c>
      <c r="E12" s="288" t="str">
        <f t="shared" si="2"/>
        <v>Пелагонија</v>
      </c>
      <c r="F12" s="284">
        <v>21</v>
      </c>
      <c r="G12" s="243">
        <v>6</v>
      </c>
      <c r="H12" s="36">
        <v>499</v>
      </c>
      <c r="I12" s="252" t="str">
        <f>IF(ISERROR(VLOOKUP(H12,Baza!A:C,2,FALSE)&amp;" "&amp;"("&amp;H12&amp;")"),"",(VLOOKUP(H12,Baza!A:C,2,FALSE)&amp;" "&amp;"("&amp;H12&amp;")"))</f>
        <v>Дарко Китановски (499)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21</v>
      </c>
      <c r="O12" s="243">
        <v>118</v>
      </c>
      <c r="Q12" s="324"/>
    </row>
    <row r="13" spans="2:17">
      <c r="B13" s="350"/>
      <c r="C13" s="265">
        <v>11</v>
      </c>
      <c r="D13" s="287" t="str">
        <f t="shared" si="1"/>
        <v>Давид Јоноски (287)</v>
      </c>
      <c r="E13" s="288" t="str">
        <f t="shared" si="2"/>
        <v>Младост 96</v>
      </c>
      <c r="F13" s="284">
        <v>12</v>
      </c>
      <c r="G13" s="243">
        <v>2</v>
      </c>
      <c r="H13" s="36">
        <v>15</v>
      </c>
      <c r="I13" s="252" t="str">
        <f>IF(ISERROR(VLOOKUP(H13,Baza!A:C,2,FALSE)&amp;" "&amp;"("&amp;H13&amp;")"),"",(VLOOKUP(H13,Baza!A:C,2,FALSE)&amp;" "&amp;"("&amp;H13&amp;")"))</f>
        <v>Лука Огненоски (15)</v>
      </c>
      <c r="J13" s="252" t="str">
        <f>IF(ISERROR(VLOOKUP(H13,Baza!A:C,3,FALSE)),"",(VLOOKUP(H13,Baza!A:C,3,FALSE)))</f>
        <v>Младост 96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12</v>
      </c>
      <c r="O13" s="243">
        <v>115</v>
      </c>
      <c r="Q13" s="324"/>
    </row>
    <row r="14" spans="2:17" ht="16.2" thickBot="1">
      <c r="B14" s="353"/>
      <c r="C14" s="268">
        <v>12</v>
      </c>
      <c r="D14" s="291" t="str">
        <f t="shared" si="1"/>
        <v>Дарис Мемиќ (533)</v>
      </c>
      <c r="E14" s="292" t="str">
        <f t="shared" si="2"/>
        <v>Патриоти</v>
      </c>
      <c r="F14" s="284">
        <v>2</v>
      </c>
      <c r="G14" s="243">
        <v>10</v>
      </c>
      <c r="H14" s="36">
        <v>261</v>
      </c>
      <c r="I14" s="252" t="str">
        <f>IF(ISERROR(VLOOKUP(H14,Baza!A:C,2,FALSE)&amp;" "&amp;"("&amp;H14&amp;")"),"",(VLOOKUP(H14,Baza!A:C,2,FALSE)&amp;" "&amp;"("&amp;H14&amp;")"))</f>
        <v>Антонио Вељановски (261)</v>
      </c>
      <c r="J14" s="252" t="str">
        <f>IF(ISERROR(VLOOKUP(H14,Baza!A:C,3,FALSE)),"",(VLOOKUP(H14,Baza!A:C,3,FALSE)))</f>
        <v>Пелагонија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2</v>
      </c>
      <c r="O14" s="243">
        <v>115</v>
      </c>
      <c r="Q14" s="324"/>
    </row>
    <row r="15" spans="2:17">
      <c r="B15" s="349" t="s">
        <v>65</v>
      </c>
      <c r="C15" s="264">
        <v>13</v>
      </c>
      <c r="D15" s="285" t="str">
        <f t="shared" si="1"/>
        <v>Лука Стојчев (73)</v>
      </c>
      <c r="E15" s="286" t="str">
        <f t="shared" si="2"/>
        <v xml:space="preserve">Младост </v>
      </c>
      <c r="F15" s="284">
        <v>23</v>
      </c>
      <c r="G15" s="243">
        <v>15</v>
      </c>
      <c r="H15" s="36">
        <v>500</v>
      </c>
      <c r="I15" s="252" t="str">
        <f>IF(ISERROR(VLOOKUP(H15,Baza!A:C,2,FALSE)&amp;" "&amp;"("&amp;H15&amp;")"),"",(VLOOKUP(H15,Baza!A:C,2,FALSE)&amp;" "&amp;"("&amp;H15&amp;")"))</f>
        <v>Марко Китановски (500)</v>
      </c>
      <c r="J15" s="252" t="str">
        <f>IF(ISERROR(VLOOKUP(H15,Baza!A:C,3,FALSE)),"",(VLOOKUP(H15,Baza!A:C,3,FALSE)))</f>
        <v>Пелагонија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23</v>
      </c>
      <c r="O15" s="243">
        <v>24</v>
      </c>
      <c r="Q15" s="324"/>
    </row>
    <row r="16" spans="2:17">
      <c r="B16" s="350"/>
      <c r="C16" s="265">
        <v>14</v>
      </c>
      <c r="D16" s="287" t="str">
        <f t="shared" si="1"/>
        <v>Антонио Аврамски (144)</v>
      </c>
      <c r="E16" s="288" t="str">
        <f t="shared" si="2"/>
        <v>Берово</v>
      </c>
      <c r="F16" s="284">
        <v>5</v>
      </c>
      <c r="G16" s="243">
        <v>3</v>
      </c>
      <c r="H16" s="36">
        <v>420</v>
      </c>
      <c r="I16" s="252" t="str">
        <f>IF(ISERROR(VLOOKUP(H16,Baza!A:C,2,FALSE)&amp;" "&amp;"("&amp;H16&amp;")"),"",(VLOOKUP(H16,Baza!A:C,2,FALSE)&amp;" "&amp;"("&amp;H16&amp;")"))</f>
        <v>Кристијан Митев (420)</v>
      </c>
      <c r="J16" s="252" t="str">
        <f>IF(ISERROR(VLOOKUP(H16,Baza!A:C,3,FALSE)),"",(VLOOKUP(H16,Baza!A:C,3,FALSE)))</f>
        <v>Пелагонија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5</v>
      </c>
      <c r="O16" s="243">
        <v>24</v>
      </c>
      <c r="Q16" s="324"/>
    </row>
    <row r="17" spans="2:17">
      <c r="B17" s="350"/>
      <c r="C17" s="265">
        <v>15</v>
      </c>
      <c r="D17" s="287" t="str">
        <f t="shared" si="1"/>
        <v>Марко Китановски (500)</v>
      </c>
      <c r="E17" s="288" t="str">
        <f t="shared" si="2"/>
        <v>Пелагонија</v>
      </c>
      <c r="F17" s="284">
        <v>16</v>
      </c>
      <c r="G17" s="243">
        <v>23</v>
      </c>
      <c r="H17" s="36">
        <v>440</v>
      </c>
      <c r="I17" s="252" t="str">
        <f>IF(ISERROR(VLOOKUP(H17,Baza!A:C,2,FALSE)&amp;" "&amp;"("&amp;H17&amp;")"),"",(VLOOKUP(H17,Baza!A:C,2,FALSE)&amp;" "&amp;"("&amp;H17&amp;")"))</f>
        <v>Андреј Бејковски (440)</v>
      </c>
      <c r="J17" s="252" t="str">
        <f>IF(ISERROR(VLOOKUP(H17,Baza!A:C,3,FALSE)),"",(VLOOKUP(H17,Baza!A:C,3,FALSE)))</f>
        <v>Пелагонија</v>
      </c>
      <c r="K17" s="312">
        <f>IF(ISERROR(VLOOKUP(H17,Baza!A:D,4,FALSE)),"",(VLOOKUP(H17,Baza!A:D,4,FALSE)))</f>
        <v>0</v>
      </c>
      <c r="M17" s="239" t="str">
        <f t="shared" si="0"/>
        <v>Младост 96</v>
      </c>
      <c r="N17" s="239">
        <v>16</v>
      </c>
      <c r="O17" s="243">
        <v>21</v>
      </c>
      <c r="Q17" s="324"/>
    </row>
    <row r="18" spans="2:17" ht="16.2" thickBot="1">
      <c r="B18" s="351"/>
      <c r="C18" s="266">
        <v>16</v>
      </c>
      <c r="D18" s="289" t="str">
        <f t="shared" si="1"/>
        <v>Огнен Илиески (612)</v>
      </c>
      <c r="E18" s="290" t="str">
        <f t="shared" si="2"/>
        <v>Младост 96</v>
      </c>
      <c r="F18" s="284">
        <v>22</v>
      </c>
      <c r="G18" s="243">
        <v>11</v>
      </c>
      <c r="H18" s="36">
        <v>287</v>
      </c>
      <c r="I18" s="252" t="str">
        <f>IF(ISERROR(VLOOKUP(H18,Baza!A:C,2,FALSE)&amp;" "&amp;"("&amp;H18&amp;")"),"",(VLOOKUP(H18,Baza!A:C,2,FALSE)&amp;" "&amp;"("&amp;H18&amp;")"))</f>
        <v>Давид Јоноски (287)</v>
      </c>
      <c r="J18" s="252" t="str">
        <f>IF(ISERROR(VLOOKUP(H18,Baza!A:C,3,FALSE)),"",(VLOOKUP(H18,Baza!A:C,3,FALSE)))</f>
        <v>Младост 96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22</v>
      </c>
      <c r="O18" s="243">
        <v>8</v>
      </c>
      <c r="Q18" s="324"/>
    </row>
    <row r="19" spans="2:17">
      <c r="B19" s="352" t="s">
        <v>66</v>
      </c>
      <c r="C19" s="273">
        <v>17</v>
      </c>
      <c r="D19" s="293" t="str">
        <f t="shared" si="1"/>
        <v>Филип Ангела (299)</v>
      </c>
      <c r="E19" s="294" t="str">
        <f t="shared" si="2"/>
        <v>Пелагонија</v>
      </c>
      <c r="F19" s="284">
        <v>4</v>
      </c>
      <c r="G19" s="243">
        <v>7</v>
      </c>
      <c r="H19" s="36">
        <v>384</v>
      </c>
      <c r="I19" s="252" t="str">
        <f>IF(ISERROR(VLOOKUP(H19,Baza!A:C,2,FALSE)&amp;" "&amp;"("&amp;H19&amp;")"),"",(VLOOKUP(H19,Baza!A:C,2,FALSE)&amp;" "&amp;"("&amp;H19&amp;")"))</f>
        <v>Трајче Маркоски (384)</v>
      </c>
      <c r="J19" s="252" t="str">
        <f>IF(ISERROR(VLOOKUP(H19,Baza!A:C,3,FALSE)),"",(VLOOKUP(H19,Baza!A:C,3,FALSE)))</f>
        <v>Младост 96</v>
      </c>
      <c r="K19" s="312">
        <f>IF(ISERROR(VLOOKUP(H19,Baza!A:D,4,FALSE)),"",(VLOOKUP(H19,Baza!A:D,4,FALSE)))</f>
        <v>0</v>
      </c>
      <c r="M19" s="239" t="e">
        <f t="shared" si="0"/>
        <v>#N/A</v>
      </c>
      <c r="N19" s="239">
        <v>4</v>
      </c>
      <c r="O19" s="243">
        <v>8</v>
      </c>
      <c r="Q19" s="324"/>
    </row>
    <row r="20" spans="2:17">
      <c r="B20" s="350"/>
      <c r="C20" s="270">
        <v>18</v>
      </c>
      <c r="D20" s="287" t="str">
        <f t="shared" si="1"/>
        <v>Кристијан Каламадевски (347)</v>
      </c>
      <c r="E20" s="288" t="str">
        <f t="shared" si="2"/>
        <v>Берово</v>
      </c>
      <c r="F20" s="284">
        <v>10</v>
      </c>
      <c r="G20" s="243">
        <v>19</v>
      </c>
      <c r="H20" s="36">
        <v>433</v>
      </c>
      <c r="I20" s="252" t="str">
        <f>IF(ISERROR(VLOOKUP(H20,Baza!A:C,2,FALSE)&amp;" "&amp;"("&amp;H20&amp;")"),"",(VLOOKUP(H20,Baza!A:C,2,FALSE)&amp;" "&amp;"("&amp;H20&amp;")"))</f>
        <v>Мартин Ристески (433)</v>
      </c>
      <c r="J20" s="252" t="str">
        <f>IF(ISERROR(VLOOKUP(H20,Baza!A:C,3,FALSE)),"",(VLOOKUP(H20,Baza!A:C,3,FALSE)))</f>
        <v>Младост 96</v>
      </c>
      <c r="K20" s="312">
        <f>IF(ISERROR(VLOOKUP(H20,Baza!A:D,4,FALSE)),"",(VLOOKUP(H20,Baza!A:D,4,FALSE)))</f>
        <v>0</v>
      </c>
      <c r="M20" s="239" t="e">
        <f t="shared" si="0"/>
        <v>#N/A</v>
      </c>
      <c r="N20" s="239">
        <v>10</v>
      </c>
      <c r="O20" s="243">
        <v>8</v>
      </c>
    </row>
    <row r="21" spans="2:17">
      <c r="B21" s="350"/>
      <c r="C21" s="270">
        <v>19</v>
      </c>
      <c r="D21" s="287" t="str">
        <f t="shared" si="1"/>
        <v>Мартин Ристески (433)</v>
      </c>
      <c r="E21" s="288" t="str">
        <f t="shared" si="2"/>
        <v>Младост 96</v>
      </c>
      <c r="F21" s="284">
        <v>18</v>
      </c>
      <c r="G21" s="243">
        <v>12</v>
      </c>
      <c r="H21" s="36">
        <v>533</v>
      </c>
      <c r="I21" s="252" t="str">
        <f>IF(ISERROR(VLOOKUP(H21,Baza!A:C,2,FALSE)&amp;" "&amp;"("&amp;H21&amp;")"),"",(VLOOKUP(H21,Baza!A:C,2,FALSE)&amp;" "&amp;"("&amp;H21&amp;")"))</f>
        <v>Дарис Мемиќ (533)</v>
      </c>
      <c r="J21" s="252" t="str">
        <f>IF(ISERROR(VLOOKUP(H21,Baza!A:C,3,FALSE)),"",(VLOOKUP(H21,Baza!A:C,3,FALSE)))</f>
        <v>Патриоти</v>
      </c>
      <c r="K21" s="312">
        <f>IF(ISERROR(VLOOKUP(H21,Baza!A:D,4,FALSE)),"",(VLOOKUP(H21,Baza!A:D,4,FALSE)))</f>
        <v>0</v>
      </c>
      <c r="M21" s="239" t="e">
        <f t="shared" si="0"/>
        <v>#N/A</v>
      </c>
      <c r="N21" s="239">
        <v>18</v>
      </c>
      <c r="O21" s="243">
        <v>0</v>
      </c>
    </row>
    <row r="22" spans="2:17" ht="16.2" thickBot="1">
      <c r="B22" s="353"/>
      <c r="C22" s="271">
        <v>20</v>
      </c>
      <c r="D22" s="291" t="str">
        <f t="shared" si="1"/>
        <v>Дамјан Петровиќ (536)</v>
      </c>
      <c r="E22" s="292" t="str">
        <f t="shared" si="2"/>
        <v>Дебар Маало</v>
      </c>
      <c r="F22" s="284">
        <v>6</v>
      </c>
      <c r="G22" s="243">
        <v>8</v>
      </c>
      <c r="H22" s="36">
        <v>448</v>
      </c>
      <c r="I22" s="252" t="str">
        <f>IF(ISERROR(VLOOKUP(H22,Baza!A:C,2,FALSE)&amp;" "&amp;"("&amp;H22&amp;")"),"",(VLOOKUP(H22,Baza!A:C,2,FALSE)&amp;" "&amp;"("&amp;H22&amp;")"))</f>
        <v>Вања Спасиќ (448)</v>
      </c>
      <c r="J22" s="252" t="str">
        <f>IF(ISERROR(VLOOKUP(H22,Baza!A:C,3,FALSE)),"",(VLOOKUP(H22,Baza!A:C,3,FALSE)))</f>
        <v>Дебар Маало</v>
      </c>
      <c r="K22" s="312">
        <f>IF(ISERROR(VLOOKUP(H22,Baza!A:D,4,FALSE)),"",(VLOOKUP(H22,Baza!A:D,4,FALSE)))</f>
        <v>0</v>
      </c>
      <c r="M22" s="239" t="e">
        <f t="shared" si="0"/>
        <v>#N/A</v>
      </c>
      <c r="N22" s="239">
        <v>6</v>
      </c>
      <c r="O22" s="243">
        <v>0</v>
      </c>
    </row>
    <row r="23" spans="2:17">
      <c r="B23" s="349" t="s">
        <v>67</v>
      </c>
      <c r="C23" s="269">
        <v>21</v>
      </c>
      <c r="D23" s="285" t="str">
        <f t="shared" si="1"/>
        <v>Љупчо Треновски (404)</v>
      </c>
      <c r="E23" s="286" t="str">
        <f t="shared" si="2"/>
        <v>Берово</v>
      </c>
      <c r="F23" s="284">
        <v>17</v>
      </c>
      <c r="G23" s="243">
        <v>4</v>
      </c>
      <c r="H23" s="36">
        <v>361</v>
      </c>
      <c r="I23" s="252" t="str">
        <f>IF(ISERROR(VLOOKUP(H23,Baza!A:C,2,FALSE)&amp;" "&amp;"("&amp;H23&amp;")"),"",(VLOOKUP(H23,Baza!A:C,2,FALSE)&amp;" "&amp;"("&amp;H23&amp;")"))</f>
        <v>Петар Јуришиќ (361)</v>
      </c>
      <c r="J23" s="252" t="str">
        <f>IF(ISERROR(VLOOKUP(H23,Baza!A:C,3,FALSE)),"",(VLOOKUP(H23,Baza!A:C,3,FALSE)))</f>
        <v>Дебар Маало</v>
      </c>
      <c r="K23" s="312">
        <f>IF(ISERROR(VLOOKUP(H23,Baza!A:D,4,FALSE)),"",(VLOOKUP(H23,Baza!A:D,4,FALSE)))</f>
        <v>0</v>
      </c>
      <c r="M23" s="239" t="e">
        <f t="shared" si="0"/>
        <v>#N/A</v>
      </c>
      <c r="N23" s="239">
        <v>17</v>
      </c>
      <c r="O23" s="243">
        <v>0</v>
      </c>
    </row>
    <row r="24" spans="2:17">
      <c r="B24" s="350"/>
      <c r="C24" s="270">
        <v>22</v>
      </c>
      <c r="D24" s="287" t="str">
        <f t="shared" si="1"/>
        <v>Андреј Стојановски (47)</v>
      </c>
      <c r="E24" s="288" t="str">
        <f t="shared" si="2"/>
        <v>10 60 АС Ѓорче Петров</v>
      </c>
      <c r="F24" s="284">
        <v>24</v>
      </c>
      <c r="G24" s="243">
        <v>20</v>
      </c>
      <c r="H24" s="322">
        <v>536</v>
      </c>
      <c r="I24" s="252" t="str">
        <f>IF(ISERROR(VLOOKUP(H24,Baza!A:C,2,FALSE)&amp;" "&amp;"("&amp;H24&amp;")"),"",(VLOOKUP(H24,Baza!A:C,2,FALSE)&amp;" "&amp;"("&amp;H24&amp;")"))</f>
        <v>Дамјан Петровиќ (536)</v>
      </c>
      <c r="J24" s="252" t="str">
        <f>IF(ISERROR(VLOOKUP(H24,Baza!A:C,3,FALSE)),"",(VLOOKUP(H24,Baza!A:C,3,FALSE)))</f>
        <v>Дебар Маало</v>
      </c>
      <c r="K24" s="312">
        <f>IF(ISERROR(VLOOKUP(H24,Baza!A:D,4,FALSE)),"",(VLOOKUP(H24,Baza!A:D,4,FALSE)))</f>
        <v>0</v>
      </c>
      <c r="M24" s="239" t="e">
        <f t="shared" si="0"/>
        <v>#N/A</v>
      </c>
      <c r="N24" s="239">
        <v>24</v>
      </c>
      <c r="O24" s="243">
        <v>0</v>
      </c>
    </row>
    <row r="25" spans="2:17">
      <c r="B25" s="350"/>
      <c r="C25" s="270">
        <v>23</v>
      </c>
      <c r="D25" s="287" t="str">
        <f t="shared" si="1"/>
        <v>Андреј Бејковски (440)</v>
      </c>
      <c r="E25" s="288" t="str">
        <f t="shared" si="2"/>
        <v>Пелагонија</v>
      </c>
      <c r="F25" s="284">
        <v>9</v>
      </c>
      <c r="G25" s="243">
        <v>16</v>
      </c>
      <c r="H25" s="36">
        <v>612</v>
      </c>
      <c r="I25" s="252" t="str">
        <f>IF(ISERROR(VLOOKUP(H25,Baza!A:C,2,FALSE)&amp;" "&amp;"("&amp;H25&amp;")"),"",(VLOOKUP(H25,Baza!A:C,2,FALSE)&amp;" "&amp;"("&amp;H25&amp;")"))</f>
        <v>Огнен Илиески (612)</v>
      </c>
      <c r="J25" s="252" t="str">
        <f>IF(ISERROR(VLOOKUP(H25,Baza!A:C,3,FALSE)),"",(VLOOKUP(H25,Baza!A:C,3,FALSE)))</f>
        <v>Младост 96</v>
      </c>
      <c r="K25" s="312">
        <f>IF(ISERROR(VLOOKUP(H25,Baza!A:D,4,FALSE)),"",(VLOOKUP(H25,Baza!A:D,4,FALSE)))</f>
        <v>0</v>
      </c>
      <c r="M25" s="239" t="e">
        <f t="shared" si="0"/>
        <v>#N/A</v>
      </c>
      <c r="N25" s="239">
        <v>9</v>
      </c>
      <c r="O25" s="243">
        <v>0</v>
      </c>
    </row>
    <row r="26" spans="2:17" ht="16.2" thickBot="1">
      <c r="B26" s="351"/>
      <c r="C26" s="272">
        <v>24</v>
      </c>
      <c r="D26" s="289" t="str">
        <f t="shared" si="1"/>
        <v>Петар Ристески (619)</v>
      </c>
      <c r="E26" s="290" t="str">
        <f t="shared" si="2"/>
        <v>Младост 96</v>
      </c>
      <c r="F26" s="284">
        <v>7</v>
      </c>
      <c r="G26" s="243">
        <v>24</v>
      </c>
      <c r="H26" s="36">
        <v>619</v>
      </c>
      <c r="I26" s="252" t="str">
        <f>IF(ISERROR(VLOOKUP(H26,Baza!A:C,2,FALSE)&amp;" "&amp;"("&amp;H26&amp;")"),"",(VLOOKUP(H26,Baza!A:C,2,FALSE)&amp;" "&amp;"("&amp;H26&amp;")"))</f>
        <v>Петар Ристески (619)</v>
      </c>
      <c r="J26" s="252" t="str">
        <f>IF(ISERROR(VLOOKUP(H26,Baza!A:C,3,FALSE)),"",(VLOOKUP(H26,Baza!A:C,3,FALSE)))</f>
        <v>Младост 96</v>
      </c>
      <c r="K26" s="312">
        <f>IF(ISERROR(VLOOKUP(H26,Baza!A:D,4,FALSE)),"",(VLOOKUP(H26,Baza!A:D,4,FALSE)))</f>
        <v>0</v>
      </c>
      <c r="M26" s="239" t="e">
        <f t="shared" si="0"/>
        <v>#N/A</v>
      </c>
      <c r="N26" s="239">
        <v>7</v>
      </c>
      <c r="O26" s="243">
        <v>0</v>
      </c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11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11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str">
        <f t="shared" si="3"/>
        <v>10 60 АС Ѓорче Петров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Нико Доага (190)</v>
      </c>
      <c r="E4" s="32">
        <f>C4+4</f>
        <v>5</v>
      </c>
      <c r="F4" s="33" t="str">
        <f>IF(VLOOKUP(E4,PARTICIPANTS!$C$3:$D$98,2,FALSE)="","",(VLOOKUP(E4,PARTICIPANTS!$C$3:$D$98,2,FALSE)))</f>
        <v>Александар Јакимовски (178)</v>
      </c>
      <c r="G4" s="32">
        <f>E4+4</f>
        <v>9</v>
      </c>
      <c r="H4" s="33" t="str">
        <f>IF(VLOOKUP(G4,PARTICIPANTS!$C$3:$D$98,2,FALSE)="","",(VLOOKUP(G4,PARTICIPANTS!$C$3:$D$98,2,FALSE)))</f>
        <v>Борис Секулов (130)</v>
      </c>
      <c r="I4" s="32">
        <f>G4+4</f>
        <v>13</v>
      </c>
      <c r="J4" s="33" t="str">
        <f>IF(VLOOKUP(I4,PARTICIPANTS!$C$3:$D$98,2,FALSE)="","",(VLOOKUP(I4,PARTICIPANTS!$C$3:$D$98,2,FALSE)))</f>
        <v>Лука Стојчев (73)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Лука Огненоски (15)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Дарко Китановски (499)</v>
      </c>
      <c r="G5" s="32">
        <f t="shared" si="0"/>
        <v>10</v>
      </c>
      <c r="H5" s="33" t="str">
        <f>IF(VLOOKUP(G5,PARTICIPANTS!$C$3:$D$98,2,FALSE)="","",(VLOOKUP(G5,PARTICIPANTS!$C$3:$D$98,2,FALSE)))</f>
        <v>Антонио Вељановски (261)</v>
      </c>
      <c r="I5" s="32">
        <f t="shared" si="0"/>
        <v>14</v>
      </c>
      <c r="J5" s="33" t="str">
        <f>IF(VLOOKUP(I5,PARTICIPANTS!$C$3:$D$98,2,FALSE)="","",(VLOOKUP(I5,PARTICIPANTS!$C$3:$D$98,2,FALSE)))</f>
        <v>Антонио Аврамски (144)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Кристијан Митев (420)</v>
      </c>
      <c r="E6" s="32">
        <f t="shared" si="0"/>
        <v>7</v>
      </c>
      <c r="F6" s="33" t="str">
        <f>IF(VLOOKUP(E6,PARTICIPANTS!$C$3:$D$98,2,FALSE)="","",(VLOOKUP(E6,PARTICIPANTS!$C$3:$D$98,2,FALSE)))</f>
        <v>Трајче Маркоски (384)</v>
      </c>
      <c r="G6" s="32">
        <f t="shared" si="0"/>
        <v>11</v>
      </c>
      <c r="H6" s="33" t="str">
        <f>IF(VLOOKUP(G6,PARTICIPANTS!$C$3:$D$98,2,FALSE)="","",(VLOOKUP(G6,PARTICIPANTS!$C$3:$D$98,2,FALSE)))</f>
        <v>Давид Јоноски (287)</v>
      </c>
      <c r="I6" s="32">
        <f t="shared" si="0"/>
        <v>15</v>
      </c>
      <c r="J6" s="33" t="str">
        <f>IF(VLOOKUP(I6,PARTICIPANTS!$C$3:$D$98,2,FALSE)="","",(VLOOKUP(I6,PARTICIPANTS!$C$3:$D$98,2,FALSE)))</f>
        <v>Марко Китановски (500)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Петар Јуришиќ (361)</v>
      </c>
      <c r="E7" s="32">
        <f t="shared" si="0"/>
        <v>8</v>
      </c>
      <c r="F7" s="33" t="str">
        <f>IF(VLOOKUP(E7,PARTICIPANTS!$C$3:$D$98,2,FALSE)="","",(VLOOKUP(E7,PARTICIPANTS!$C$3:$D$98,2,FALSE)))</f>
        <v>Вања Спасиќ (448)</v>
      </c>
      <c r="G7" s="32">
        <f t="shared" si="0"/>
        <v>12</v>
      </c>
      <c r="H7" s="33" t="str">
        <f>IF(VLOOKUP(G7,PARTICIPANTS!$C$3:$D$98,2,FALSE)="","",(VLOOKUP(G7,PARTICIPANTS!$C$3:$D$98,2,FALSE)))</f>
        <v>Дарис Мемиќ (533)</v>
      </c>
      <c r="I7" s="32">
        <f t="shared" si="0"/>
        <v>16</v>
      </c>
      <c r="J7" s="33" t="str">
        <f>IF(VLOOKUP(I7,PARTICIPANTS!$C$3:$D$98,2,FALSE)="","",(VLOOKUP(I7,PARTICIPANTS!$C$3:$D$98,2,FALSE)))</f>
        <v>Огнен Илиески (612)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Филип Ангела (299)</v>
      </c>
      <c r="E9" s="32">
        <f>C9+4</f>
        <v>21</v>
      </c>
      <c r="F9" s="33" t="str">
        <f>IF(VLOOKUP(E9,PARTICIPANTS!$C$3:$D$98,2,FALSE)="","",(VLOOKUP(E9,PARTICIPANTS!$C$3:$D$98,2,FALSE)))</f>
        <v>Љупчо Треновски (404)</v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Кристијан Каламадевски (347)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Андреј Стојановски (47)</v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Мартин Ристески (433)</v>
      </c>
      <c r="E11" s="32">
        <f t="shared" si="1"/>
        <v>23</v>
      </c>
      <c r="F11" s="33" t="str">
        <f>IF(VLOOKUP(E11,PARTICIPANTS!$C$3:$D$98,2,FALSE)="","",(VLOOKUP(E11,PARTICIPANTS!$C$3:$D$98,2,FALSE)))</f>
        <v>Андреј Бејковски (440)</v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Дамјан Петровиќ (536)</v>
      </c>
      <c r="E12" s="32">
        <f t="shared" si="1"/>
        <v>24</v>
      </c>
      <c r="F12" s="33" t="str">
        <f>IF(VLOOKUP(E12,PARTICIPANTS!$C$3:$D$98,2,FALSE)="","",(VLOOKUP(E12,PARTICIPANTS!$C$3:$D$98,2,FALSE)))</f>
        <v>Петар Ристески (619)</v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Нико Доага (190)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Лука Огненоски (15)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Кристијан Митев (420)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>Петар Јуришиќ (361)</v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Нико Доага (190)</v>
      </c>
      <c r="D9" s="185">
        <v>3</v>
      </c>
      <c r="E9" s="181" t="str">
        <f>IF(C6="","",VLOOKUP(D9,$B$3:$E$6,2,FALSE))</f>
        <v>Кристијан Митев (420)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Лука Огненоски (15)</v>
      </c>
      <c r="D10" s="185">
        <v>4</v>
      </c>
      <c r="E10" s="181" t="str">
        <f>IF(C5="","",VLOOKUP(D10,$B$3:$E$6,2,FALSE))</f>
        <v>Петар Јуришиќ (361)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>Нико Доага (190)</v>
      </c>
      <c r="D13" s="185">
        <v>2</v>
      </c>
      <c r="E13" s="181" t="str">
        <f>IF(C5="","",VLOOKUP(D13,$B$3:$E$6,2,FALSE))</f>
        <v>Лука Огненоски (15)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Кристијан Митев (420)</v>
      </c>
      <c r="D14" s="185">
        <v>4</v>
      </c>
      <c r="E14" s="181" t="str">
        <f>IF(C4="","",VLOOKUP(D14,$B$3:$E$6,2,FALSE))</f>
        <v>Петар Јуришиќ (361)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Нико Доага (190)</v>
      </c>
      <c r="D17" s="130">
        <v>4</v>
      </c>
      <c r="E17" s="131" t="str">
        <f>IF(C6="","",VLOOKUP(D17,$B$3:$E$6,2,FALSE))</f>
        <v>Петар Јуришиќ (361)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Кристијан Митев (420)</v>
      </c>
      <c r="D18" s="140">
        <v>2</v>
      </c>
      <c r="E18" s="141" t="str">
        <f>IF(C5="","",VLOOKUP(D18,$B$3:$E$6,2,FALSE))</f>
        <v>Лука Огненоски (15)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S13" sqref="AS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Нико Доага (190)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Нико Доага (190)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111</v>
      </c>
      <c r="Q3" s="111">
        <f>IF(AND(T9="",T13="",T17=""),"",AP3)</f>
        <v>67</v>
      </c>
      <c r="R3" s="378">
        <f>IF(ISERROR(IF(AND(T9="",T13="",T17=""),"",SUM(AB3:AD3)+(N3-O3)/1000)+(AK3/10000)),"",IF(AND(T9="",T13="",T17=""),"",SUM(AB3:AD3)+(N3-O3)/1000)+(AK3/10000)+(AG3/100000))</f>
        <v>6.0135100000000001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Лука Огненоски (15)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111</v>
      </c>
      <c r="AH3" s="10">
        <f>F9+H9+J9+L9+N9+P9+R9</f>
        <v>42</v>
      </c>
      <c r="AI3" s="10">
        <f>F13+H13+J13+L13+N13+P13+R13</f>
        <v>36</v>
      </c>
      <c r="AJ3" s="10">
        <f>F17+H17+J17+L17+N17+P17+R17</f>
        <v>33</v>
      </c>
      <c r="AK3" s="373">
        <f>SUM(AH3:AJ3)-SUM(AM3:AO3)</f>
        <v>44</v>
      </c>
      <c r="AL3" s="374"/>
      <c r="AM3" s="10">
        <f>AH5</f>
        <v>29</v>
      </c>
      <c r="AN3" s="10">
        <f>AI4</f>
        <v>25</v>
      </c>
      <c r="AO3" s="10">
        <f>AJ6</f>
        <v>13</v>
      </c>
      <c r="AP3" s="9">
        <f>SUM(AM3:AO3)</f>
        <v>67</v>
      </c>
    </row>
    <row r="4" spans="2:47" ht="24" customHeight="1">
      <c r="B4" s="101">
        <v>2</v>
      </c>
      <c r="C4" s="375" t="str">
        <f>IF(GROUPS!D5="","",GROUPS!D5)</f>
        <v>Лука Огненоски (15)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97</v>
      </c>
      <c r="Q4" s="111">
        <f>IF(AND(T10="",U13="",U18=""),"",AP4)</f>
        <v>77</v>
      </c>
      <c r="R4" s="378">
        <f>IF(ISERROR(IF(AND(T10="",U13="",U18=""),"",SUM(AB4:AD4)+(N4-O4)/1000)+(AK4/10000)+(AG4/100000)),"",IF(AND(T10="",U13="",U18=""),"",SUM(AB4:AD4)+(N4-O4)/1000)+(AK4/10000)+(AG4/100000))</f>
        <v>5.0049699999999993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Кристијан Митев (420)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97</v>
      </c>
      <c r="AH4" s="10">
        <f>F10+H10+J10+L10+N10+P10+R10</f>
        <v>33</v>
      </c>
      <c r="AI4" s="10">
        <f>G13+I13+K13+M13+O13+Q13+S13</f>
        <v>25</v>
      </c>
      <c r="AJ4" s="10">
        <f>G18+I18+K18+M18+O18+Q18+S18</f>
        <v>39</v>
      </c>
      <c r="AK4" s="373">
        <f t="shared" ref="AK4:AK6" si="2">SUM(AH4:AJ4)-SUM(AM4:AO4)</f>
        <v>20</v>
      </c>
      <c r="AL4" s="374"/>
      <c r="AM4" s="10">
        <f>AH6</f>
        <v>16</v>
      </c>
      <c r="AN4" s="10">
        <f>AI3</f>
        <v>36</v>
      </c>
      <c r="AO4" s="10">
        <f>AJ5</f>
        <v>25</v>
      </c>
      <c r="AP4" s="9">
        <f t="shared" ref="AP4:AP6" si="3">SUM(AM4:AO4)</f>
        <v>77</v>
      </c>
    </row>
    <row r="5" spans="2:47" ht="24" customHeight="1">
      <c r="B5" s="101">
        <v>3</v>
      </c>
      <c r="C5" s="375" t="str">
        <f>IF(GROUPS!D6="","",GROUPS!D6)</f>
        <v>Кристијан Митев (420)</v>
      </c>
      <c r="D5" s="376"/>
      <c r="E5" s="377"/>
      <c r="F5" s="113">
        <f>U9</f>
        <v>1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87</v>
      </c>
      <c r="Q5" s="111">
        <f>IF(AND(U9="",T14="",T18=""),"",AP5)</f>
        <v>99</v>
      </c>
      <c r="R5" s="378">
        <f>IF(ISERROR(IF(AND(U9="",T14="",T18=""),"",SUM(AB5:AD5)+(N5-O5)/1000)+(AK5/10000)+(AG5/100000)),"",IF(AND(U9="",T14="",T18=""),"",SUM(AB5:AD5)+(N5-O5)/1000)+(AK5/10000)+(AG5/100000))</f>
        <v>3.9986700000000002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>Петар Јуришиќ (361)</v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87</v>
      </c>
      <c r="AH5" s="10">
        <f>G9+I9+K9+M9+O9+Q9+S9</f>
        <v>29</v>
      </c>
      <c r="AI5" s="10">
        <f>F14+H14+J14+L14+N14+P14+R14</f>
        <v>33</v>
      </c>
      <c r="AJ5" s="10">
        <f>F18+H18+J18+L18+N18+P18+R18</f>
        <v>25</v>
      </c>
      <c r="AK5" s="373">
        <f t="shared" si="2"/>
        <v>-12</v>
      </c>
      <c r="AL5" s="374"/>
      <c r="AM5" s="10">
        <f>AH3</f>
        <v>42</v>
      </c>
      <c r="AN5" s="10">
        <f>AI6</f>
        <v>18</v>
      </c>
      <c r="AO5" s="10">
        <f>AJ4</f>
        <v>39</v>
      </c>
      <c r="AP5" s="9">
        <f t="shared" si="3"/>
        <v>99</v>
      </c>
    </row>
    <row r="6" spans="2:47" ht="24" customHeight="1" thickBot="1">
      <c r="B6" s="116">
        <v>4</v>
      </c>
      <c r="C6" s="369" t="str">
        <f>IF(GROUPS!D7="","",GROUPS!D7)</f>
        <v>Петар Јуришиќ (361)</v>
      </c>
      <c r="D6" s="370"/>
      <c r="E6" s="37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47</v>
      </c>
      <c r="Q6" s="125">
        <f>IF(AND(U10="",U14="",U17=""),"",AP6)</f>
        <v>99</v>
      </c>
      <c r="R6" s="372">
        <f>IF(ISERROR(IF(AND(U10="",U14="",U17=""),"",SUM(AB6:AD6)+(N6-O6)/1000)+(AK6/10000)+(AG6/100000)),"",IF(AND(U10="",U14="",U17=""),"",SUM(AB6:AD6)+(N6-O6)/1000)+(AK6/10000)+(AG6/100000))</f>
        <v>2.9862700000000002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47</v>
      </c>
      <c r="AH6" s="10">
        <f>G10+I10+K10+M10+O10+Q10+S10</f>
        <v>16</v>
      </c>
      <c r="AI6" s="10">
        <f>G14+I14+K14+M14+O14+Q14+S14</f>
        <v>18</v>
      </c>
      <c r="AJ6" s="10">
        <f>G17+I17+K17+M17+O17+Q17+S17</f>
        <v>13</v>
      </c>
      <c r="AK6" s="373">
        <f t="shared" si="2"/>
        <v>-52</v>
      </c>
      <c r="AL6" s="374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342</v>
      </c>
      <c r="Q7" s="127">
        <f>SUM(Q3:Q6)</f>
        <v>342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3</v>
      </c>
      <c r="H9" s="134">
        <v>11</v>
      </c>
      <c r="I9" s="133">
        <v>6</v>
      </c>
      <c r="J9" s="132">
        <v>9</v>
      </c>
      <c r="K9" s="135">
        <v>11</v>
      </c>
      <c r="L9" s="134">
        <v>11</v>
      </c>
      <c r="M9" s="133">
        <v>9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>Петар Јуришиќ (361)</v>
      </c>
      <c r="F10" s="142">
        <v>11</v>
      </c>
      <c r="G10" s="143">
        <v>7</v>
      </c>
      <c r="H10" s="144">
        <v>11</v>
      </c>
      <c r="I10" s="143">
        <v>4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6</v>
      </c>
      <c r="H13" s="134">
        <v>11</v>
      </c>
      <c r="I13" s="133">
        <v>7</v>
      </c>
      <c r="J13" s="132">
        <v>14</v>
      </c>
      <c r="K13" s="135">
        <v>12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>Петар Јуришиќ (361)</v>
      </c>
      <c r="F14" s="142">
        <v>11</v>
      </c>
      <c r="G14" s="143">
        <v>6</v>
      </c>
      <c r="H14" s="144">
        <v>11</v>
      </c>
      <c r="I14" s="143">
        <v>3</v>
      </c>
      <c r="J14" s="142">
        <v>11</v>
      </c>
      <c r="K14" s="145">
        <v>9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>Петар Јуришиќ (361)</v>
      </c>
      <c r="F17" s="132">
        <v>11</v>
      </c>
      <c r="G17" s="133">
        <v>4</v>
      </c>
      <c r="H17" s="134">
        <v>11</v>
      </c>
      <c r="I17" s="133">
        <v>7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Лука Огненоски (15)</v>
      </c>
      <c r="F18" s="142">
        <v>11</v>
      </c>
      <c r="G18" s="143">
        <v>6</v>
      </c>
      <c r="H18" s="144">
        <v>4</v>
      </c>
      <c r="I18" s="143">
        <v>11</v>
      </c>
      <c r="J18" s="142">
        <v>5</v>
      </c>
      <c r="K18" s="145">
        <v>11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S19" sqref="AS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Александар Јакимовски (178)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Александар Јакимовски (178)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108</v>
      </c>
      <c r="Q3" s="111">
        <f>IF(AND(T9="",T13="",T17=""),"",AP3)</f>
        <v>61</v>
      </c>
      <c r="R3" s="378">
        <f>IF(ISERROR(IF(AND(T9="",T13="",T17=""),"",SUM(AB3:AD3)+(N3-O3)/1000)+(AK3/10000)),"",IF(AND(T9="",T13="",T17=""),"",SUM(AB3:AD3)+(N3-O3)/1000)+(AK3/10000)+(AG3/100000))</f>
        <v>6.0137799999999997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Дарко Китановски (499)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108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42</v>
      </c>
      <c r="AK3" s="373">
        <f>SUM(AH3:AJ3)-SUM(AM3:AO3)</f>
        <v>47</v>
      </c>
      <c r="AL3" s="374"/>
      <c r="AM3" s="10">
        <f>AH5</f>
        <v>18</v>
      </c>
      <c r="AN3" s="10">
        <f>AI4</f>
        <v>20</v>
      </c>
      <c r="AO3" s="10">
        <f>AJ6</f>
        <v>23</v>
      </c>
      <c r="AP3" s="9">
        <f>SUM(AM3:AO3)</f>
        <v>61</v>
      </c>
    </row>
    <row r="4" spans="2:47" ht="24" customHeight="1">
      <c r="B4" s="101">
        <v>2</v>
      </c>
      <c r="C4" s="375" t="str">
        <f>IF(GROUPS!F5="","",GROUPS!F5)</f>
        <v>Дарко Китановски (499)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94</v>
      </c>
      <c r="Q4" s="111">
        <f>IF(AND(T10="",U13="",U18=""),"",AP4)</f>
        <v>91</v>
      </c>
      <c r="R4" s="378">
        <f>IF(ISERROR(IF(AND(T10="",U13="",U18=""),"",SUM(AB4:AD4)+(N4-O4)/1000)+(AK4/10000)+(AG4/100000)),"",IF(AND(T10="",U13="",U18=""),"",SUM(AB4:AD4)+(N4-O4)/1000)+(AK4/10000)+(AG4/100000))</f>
        <v>5.0032399999999999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Вања Спасиќ (448)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94</v>
      </c>
      <c r="AH4" s="10">
        <f>F10+H10+J10+L10+N10+P10+R10</f>
        <v>34</v>
      </c>
      <c r="AI4" s="10">
        <f>G13+I13+K13+M13+O13+Q13+S13</f>
        <v>20</v>
      </c>
      <c r="AJ4" s="10">
        <f>G18+I18+K18+M18+O18+Q18+S18</f>
        <v>40</v>
      </c>
      <c r="AK4" s="373">
        <f t="shared" ref="AK4:AK6" si="2">SUM(AH4:AJ4)-SUM(AM4:AO4)</f>
        <v>3</v>
      </c>
      <c r="AL4" s="374"/>
      <c r="AM4" s="10">
        <f>AH6</f>
        <v>26</v>
      </c>
      <c r="AN4" s="10">
        <f>AI3</f>
        <v>33</v>
      </c>
      <c r="AO4" s="10">
        <f>AJ5</f>
        <v>32</v>
      </c>
      <c r="AP4" s="9">
        <f t="shared" ref="AP4:AP6" si="3">SUM(AM4:AO4)</f>
        <v>91</v>
      </c>
    </row>
    <row r="5" spans="2:47" ht="24" customHeight="1">
      <c r="B5" s="101">
        <v>3</v>
      </c>
      <c r="C5" s="375" t="str">
        <f>IF(GROUPS!F6="","",GROUPS!F6)</f>
        <v>Трајче Маркоски (384)</v>
      </c>
      <c r="D5" s="376"/>
      <c r="E5" s="377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69</v>
      </c>
      <c r="Q5" s="111">
        <f>IF(AND(U9="",T14="",T18=""),"",AP5)</f>
        <v>107</v>
      </c>
      <c r="R5" s="378">
        <f>IF(ISERROR(IF(AND(U9="",T14="",T18=""),"",SUM(AB5:AD5)+(N5-O5)/1000)+(AK5/10000)+(AG5/100000)),"",IF(AND(U9="",T14="",T18=""),"",SUM(AB5:AD5)+(N5-O5)/1000)+(AK5/10000)+(AG5/100000))</f>
        <v>2.98889</v>
      </c>
      <c r="S5" s="378"/>
      <c r="T5" s="112">
        <f>IF(ISERROR(IF(C5="","",RANK(R5,$R$3:$S$6,0))),"",IF(C5="","",RANK(R5,$R$3:$S$6,0)))</f>
        <v>4</v>
      </c>
      <c r="U5" s="9"/>
      <c r="V5" s="9"/>
      <c r="W5" s="7">
        <v>4</v>
      </c>
      <c r="X5" s="379" t="str">
        <f t="shared" si="0"/>
        <v>Трајче Маркоски (384)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69</v>
      </c>
      <c r="AH5" s="10">
        <f>G9+I9+K9+M9+O9+Q9+S9</f>
        <v>18</v>
      </c>
      <c r="AI5" s="10">
        <f>F14+H14+J14+L14+N14+P14+R14</f>
        <v>19</v>
      </c>
      <c r="AJ5" s="10">
        <f>F18+H18+J18+L18+N18+P18+R18</f>
        <v>32</v>
      </c>
      <c r="AK5" s="373">
        <f t="shared" si="2"/>
        <v>-38</v>
      </c>
      <c r="AL5" s="374"/>
      <c r="AM5" s="10">
        <f>AH3</f>
        <v>33</v>
      </c>
      <c r="AN5" s="10">
        <f>AI6</f>
        <v>34</v>
      </c>
      <c r="AO5" s="10">
        <f>AJ4</f>
        <v>40</v>
      </c>
      <c r="AP5" s="9">
        <f t="shared" si="3"/>
        <v>107</v>
      </c>
    </row>
    <row r="6" spans="2:47" ht="24" customHeight="1" thickBot="1">
      <c r="B6" s="116">
        <v>4</v>
      </c>
      <c r="C6" s="369" t="str">
        <f>IF(GROUPS!F7="","",GROUPS!F7)</f>
        <v>Вања Спасиќ (448)</v>
      </c>
      <c r="D6" s="370"/>
      <c r="E6" s="371"/>
      <c r="F6" s="117">
        <f>U17</f>
        <v>1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6</v>
      </c>
      <c r="P6" s="124">
        <f>IF(AND(U10="",U14="",U17=""),"",AG6)</f>
        <v>83</v>
      </c>
      <c r="Q6" s="125">
        <f>IF(AND(U10="",U14="",U17=""),"",AP6)</f>
        <v>95</v>
      </c>
      <c r="R6" s="372">
        <f>IF(ISERROR(IF(AND(U10="",U14="",U17=""),"",SUM(AB6:AD6)+(N6-O6)/1000)+(AK6/10000)+(AG6/100000)),"",IF(AND(U10="",U14="",U17=""),"",SUM(AB6:AD6)+(N6-O6)/1000)+(AK6/10000)+(AG6/100000))</f>
        <v>3.9976300000000005</v>
      </c>
      <c r="S6" s="37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83</v>
      </c>
      <c r="AH6" s="10">
        <f>G10+I10+K10+M10+O10+Q10+S10</f>
        <v>26</v>
      </c>
      <c r="AI6" s="10">
        <f>G14+I14+K14+M14+O14+Q14+S14</f>
        <v>34</v>
      </c>
      <c r="AJ6" s="10">
        <f>G17+I17+K17+M17+O17+Q17+S17</f>
        <v>23</v>
      </c>
      <c r="AK6" s="373">
        <f t="shared" si="2"/>
        <v>-12</v>
      </c>
      <c r="AL6" s="374"/>
      <c r="AM6" s="10">
        <f>AH4</f>
        <v>34</v>
      </c>
      <c r="AN6" s="10">
        <f>AI5</f>
        <v>19</v>
      </c>
      <c r="AO6" s="10">
        <f>AJ3</f>
        <v>42</v>
      </c>
      <c r="AP6" s="9">
        <f t="shared" si="3"/>
        <v>95</v>
      </c>
    </row>
    <row r="7" spans="2:47" ht="18.600000000000001" thickBot="1">
      <c r="P7" s="127">
        <f>SUM(P3:P6)</f>
        <v>354</v>
      </c>
      <c r="Q7" s="127">
        <f>SUM(Q3:Q6)</f>
        <v>354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Трајче Маркоски (384)</v>
      </c>
      <c r="F9" s="132">
        <v>11</v>
      </c>
      <c r="G9" s="133">
        <v>8</v>
      </c>
      <c r="H9" s="134">
        <v>11</v>
      </c>
      <c r="I9" s="133">
        <v>8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>Вања Спасиќ (448)</v>
      </c>
      <c r="F10" s="142">
        <v>11</v>
      </c>
      <c r="G10" s="143">
        <v>9</v>
      </c>
      <c r="H10" s="144">
        <v>11</v>
      </c>
      <c r="I10" s="143">
        <v>7</v>
      </c>
      <c r="J10" s="142">
        <v>12</v>
      </c>
      <c r="K10" s="145">
        <v>10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7</v>
      </c>
      <c r="H13" s="134">
        <v>11</v>
      </c>
      <c r="I13" s="133">
        <v>5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Трајче Маркоски (384)</v>
      </c>
      <c r="D14" s="140">
        <v>4</v>
      </c>
      <c r="E14" s="141" t="str">
        <f>IF(C6="","",VLOOKUP(D14,$B$3:$E$6,2,FALSE))</f>
        <v>Вања Спасиќ (448)</v>
      </c>
      <c r="F14" s="142">
        <v>4</v>
      </c>
      <c r="G14" s="143">
        <v>11</v>
      </c>
      <c r="H14" s="144">
        <v>5</v>
      </c>
      <c r="I14" s="143">
        <v>11</v>
      </c>
      <c r="J14" s="142">
        <v>10</v>
      </c>
      <c r="K14" s="145">
        <v>12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>Вања Спасиќ (448)</v>
      </c>
      <c r="F17" s="132">
        <v>9</v>
      </c>
      <c r="G17" s="133">
        <v>11</v>
      </c>
      <c r="H17" s="134">
        <v>11</v>
      </c>
      <c r="I17" s="133">
        <v>3</v>
      </c>
      <c r="J17" s="132">
        <v>11</v>
      </c>
      <c r="K17" s="135">
        <v>7</v>
      </c>
      <c r="L17" s="134">
        <v>11</v>
      </c>
      <c r="M17" s="133">
        <v>2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Трајче Маркоски (384)</v>
      </c>
      <c r="D18" s="140">
        <v>2</v>
      </c>
      <c r="E18" s="141" t="str">
        <f>IF(C4="","",VLOOKUP(D18,$B$3:$E$6,2,FALSE))</f>
        <v>Дарко Китановски (499)</v>
      </c>
      <c r="F18" s="142">
        <v>11</v>
      </c>
      <c r="G18" s="143">
        <v>7</v>
      </c>
      <c r="H18" s="144">
        <v>5</v>
      </c>
      <c r="I18" s="143">
        <v>11</v>
      </c>
      <c r="J18" s="142">
        <v>9</v>
      </c>
      <c r="K18" s="145">
        <v>11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AV17" sqref="AV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Борис Секулов (130)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Борис Секулов (130)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72</v>
      </c>
      <c r="Q3" s="111">
        <f>IF(AND(T9="",T13="",T17=""),"",AP3)</f>
        <v>44</v>
      </c>
      <c r="R3" s="378">
        <f>IF(ISERROR(IF(AND(T9="",T13="",T17=""),"",SUM(AB3:AD3)+(N3-O3)/1000)+(AK3/10000)),"",IF(AND(T9="",T13="",T17=""),"",SUM(AB3:AD3)+(N3-O3)/1000)+(AK3/10000)+(AG3/100000))</f>
        <v>4.0085199999999999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Давид Јоноски (287)</v>
      </c>
      <c r="Y3" s="383"/>
      <c r="Z3" s="384"/>
      <c r="AB3" s="10" t="str">
        <f>IF(H3="","",IF(H3&gt;I3,2,1))</f>
        <v/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72</v>
      </c>
      <c r="AH3" s="10">
        <f>F9+H9+J9+L9+N9+P9+R9</f>
        <v>39</v>
      </c>
      <c r="AI3" s="10">
        <f>F13+H13+J13+L13+N13+P13+R13</f>
        <v>0</v>
      </c>
      <c r="AJ3" s="10">
        <f>F17+H17+J17+L17+N17+P17+R17</f>
        <v>33</v>
      </c>
      <c r="AK3" s="373">
        <f>SUM(AH3:AJ3)-SUM(AM3:AO3)</f>
        <v>28</v>
      </c>
      <c r="AL3" s="374"/>
      <c r="AM3" s="10">
        <f>AH5</f>
        <v>28</v>
      </c>
      <c r="AN3" s="10">
        <f>AI4</f>
        <v>0</v>
      </c>
      <c r="AO3" s="10">
        <f>AJ6</f>
        <v>16</v>
      </c>
      <c r="AP3" s="9">
        <f>SUM(AM3:AO3)</f>
        <v>44</v>
      </c>
    </row>
    <row r="4" spans="2:47" ht="24" customHeight="1">
      <c r="B4" s="101">
        <v>2</v>
      </c>
      <c r="C4" s="375" t="str">
        <f>IF(GROUPS!H5="","",GROUPS!H5)</f>
        <v>Антонио Вељановски (261)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>Дарис Мемиќ (533)</v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IF(GROUPS!H6="","",GROUPS!H6)</f>
        <v>Давид Јоноски (287)</v>
      </c>
      <c r="D5" s="376"/>
      <c r="E5" s="377"/>
      <c r="F5" s="113">
        <f>U9</f>
        <v>1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61</v>
      </c>
      <c r="Q5" s="111">
        <f>IF(AND(U9="",T14="",T18=""),"",AP5)</f>
        <v>52</v>
      </c>
      <c r="R5" s="378">
        <f>IF(ISERROR(IF(AND(U9="",T14="",T18=""),"",SUM(AB5:AD5)+(N5-O5)/1000)+(AK5/10000)+(AG5/100000)),"",IF(AND(U9="",T14="",T18=""),"",SUM(AB5:AD5)+(N5-O5)/1000)+(AK5/10000)+(AG5/100000))</f>
        <v>3.00251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2</v>
      </c>
      <c r="AE5" s="182"/>
      <c r="AG5" s="11">
        <f t="shared" si="1"/>
        <v>61</v>
      </c>
      <c r="AH5" s="10">
        <f>G9+I9+K9+M9+O9+Q9+S9</f>
        <v>28</v>
      </c>
      <c r="AI5" s="10">
        <f>F14+H14+J14+L14+N14+P14+R14</f>
        <v>33</v>
      </c>
      <c r="AJ5" s="10">
        <f>F18+H18+J18+L18+N18+P18+R18</f>
        <v>0</v>
      </c>
      <c r="AK5" s="373">
        <f t="shared" si="2"/>
        <v>9</v>
      </c>
      <c r="AL5" s="374"/>
      <c r="AM5" s="10">
        <f>AH3</f>
        <v>39</v>
      </c>
      <c r="AN5" s="10">
        <f>AI6</f>
        <v>13</v>
      </c>
      <c r="AO5" s="10">
        <f>AJ4</f>
        <v>0</v>
      </c>
      <c r="AP5" s="9">
        <f t="shared" si="3"/>
        <v>52</v>
      </c>
    </row>
    <row r="6" spans="2:47" ht="24" customHeight="1" thickBot="1">
      <c r="B6" s="116">
        <v>4</v>
      </c>
      <c r="C6" s="369" t="str">
        <f>IF(GROUPS!H7="","",GROUPS!H7)</f>
        <v>Дарис Мемиќ (533)</v>
      </c>
      <c r="D6" s="370"/>
      <c r="E6" s="371"/>
      <c r="F6" s="117">
        <f>U17</f>
        <v>0</v>
      </c>
      <c r="G6" s="118">
        <f>T17</f>
        <v>3</v>
      </c>
      <c r="H6" s="119" t="str">
        <f>U10</f>
        <v/>
      </c>
      <c r="I6" s="118" t="str">
        <f>T10</f>
        <v/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6</v>
      </c>
      <c r="P6" s="124">
        <f>IF(AND(U10="",U14="",U17=""),"",AG6)</f>
        <v>29</v>
      </c>
      <c r="Q6" s="125">
        <f>IF(AND(U10="",U14="",U17=""),"",AP6)</f>
        <v>66</v>
      </c>
      <c r="R6" s="372">
        <f>IF(ISERROR(IF(AND(U10="",U14="",U17=""),"",SUM(AB6:AD6)+(N6-O6)/1000)+(AK6/10000)+(AG6/100000)),"",IF(AND(U10="",U14="",U17=""),"",SUM(AB6:AD6)+(N6-O6)/1000)+(AK6/10000)+(AG6/100000))</f>
        <v>1.9905899999999999</v>
      </c>
      <c r="S6" s="372"/>
      <c r="T6" s="126">
        <f>IF(ISERROR(IF(C6="","",RANK(R6,$R$3:$S$6,0))),"",IF(C6="","",RANK(R6,$R$3:$S$6,0)))</f>
        <v>3</v>
      </c>
      <c r="AB6" s="10">
        <f t="shared" si="4"/>
        <v>1</v>
      </c>
      <c r="AC6" s="10" t="str">
        <f>IF(H6="","",IF(H6&gt;I6,2,1))</f>
        <v/>
      </c>
      <c r="AD6" s="10">
        <f>IF(J6="","",IF(J6&gt;K6,2,1))</f>
        <v>1</v>
      </c>
      <c r="AE6" s="182"/>
      <c r="AG6" s="11">
        <f t="shared" si="1"/>
        <v>29</v>
      </c>
      <c r="AH6" s="10">
        <f>G10+I10+K10+M10+O10+Q10+S10</f>
        <v>0</v>
      </c>
      <c r="AI6" s="10">
        <f>G14+I14+K14+M14+O14+Q14+S14</f>
        <v>13</v>
      </c>
      <c r="AJ6" s="10">
        <f>G17+I17+K17+M17+O17+Q17+S17</f>
        <v>16</v>
      </c>
      <c r="AK6" s="373">
        <f t="shared" si="2"/>
        <v>-37</v>
      </c>
      <c r="AL6" s="374"/>
      <c r="AM6" s="10">
        <f>AH4</f>
        <v>0</v>
      </c>
      <c r="AN6" s="10">
        <f>AI5</f>
        <v>33</v>
      </c>
      <c r="AO6" s="10">
        <f>AJ3</f>
        <v>33</v>
      </c>
      <c r="AP6" s="9">
        <f t="shared" si="3"/>
        <v>66</v>
      </c>
    </row>
    <row r="7" spans="2:47" ht="18.600000000000001" thickBot="1">
      <c r="P7" s="127">
        <f>SUM(P3:P6)</f>
        <v>162</v>
      </c>
      <c r="Q7" s="127">
        <f>SUM(Q3:Q6)</f>
        <v>162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Давид Јоноски (287)</v>
      </c>
      <c r="F9" s="132">
        <v>11</v>
      </c>
      <c r="G9" s="133">
        <v>5</v>
      </c>
      <c r="H9" s="134">
        <v>11</v>
      </c>
      <c r="I9" s="133">
        <v>5</v>
      </c>
      <c r="J9" s="132">
        <v>6</v>
      </c>
      <c r="K9" s="135">
        <v>11</v>
      </c>
      <c r="L9" s="134">
        <v>11</v>
      </c>
      <c r="M9" s="133">
        <v>7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Антонио Вељановски (261)</v>
      </c>
      <c r="D10" s="140">
        <v>4</v>
      </c>
      <c r="E10" s="141" t="str">
        <f>IF(C6="","",VLOOKUP(D10,$B$3:$E$6,2,FALSE))</f>
        <v>Дарис Мемиќ (533)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Антонио Вељановски (261)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Јоноски (287)</v>
      </c>
      <c r="D14" s="140">
        <v>4</v>
      </c>
      <c r="E14" s="141" t="str">
        <f>IF(C6="","",VLOOKUP(D14,$B$3:$E$6,2,FALSE))</f>
        <v>Дарис Мемиќ (533)</v>
      </c>
      <c r="F14" s="142">
        <v>11</v>
      </c>
      <c r="G14" s="143">
        <v>2</v>
      </c>
      <c r="H14" s="144">
        <v>11</v>
      </c>
      <c r="I14" s="143">
        <v>3</v>
      </c>
      <c r="J14" s="142">
        <v>11</v>
      </c>
      <c r="K14" s="145">
        <v>8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Дарис Мемиќ (533)</v>
      </c>
      <c r="F17" s="132">
        <v>11</v>
      </c>
      <c r="G17" s="133">
        <v>7</v>
      </c>
      <c r="H17" s="134">
        <v>11</v>
      </c>
      <c r="I17" s="133">
        <v>4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Јоноски (287)</v>
      </c>
      <c r="D18" s="140">
        <v>2</v>
      </c>
      <c r="E18" s="141" t="str">
        <f>IF(C4="","",VLOOKUP(D18,$B$3:$E$6,2,FALSE))</f>
        <v>Антонио Вељановски (261)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AR16" sqref="AR16:AR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Лука Стојчев (73)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>Лука Стојчев (73)</v>
      </c>
      <c r="D3" s="407"/>
      <c r="E3" s="408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102</v>
      </c>
      <c r="Q3" s="111">
        <f>IF(AND(T9="",T13="",T17=""),"",AP3)</f>
        <v>46</v>
      </c>
      <c r="R3" s="378">
        <f>IF(ISERROR(IF(AND(T9="",T13="",T17=""),"",SUM(AB3:AD3)+(N3-O3)/1000)+(AK3/10000)),"",IF(AND(T9="",T13="",T17=""),"",SUM(AB3:AD3)+(N3-O3)/1000)+(AK3/10000)+(AG3/100000))</f>
        <v>6.0156200000000002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Антонио Аврамски (144)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102</v>
      </c>
      <c r="AH3" s="10">
        <f>F9+H9+J9+L9+N9+P9+R9</f>
        <v>34</v>
      </c>
      <c r="AI3" s="10">
        <f>F13+H13+J13+L13+N13+P13+R13</f>
        <v>35</v>
      </c>
      <c r="AJ3" s="10">
        <f>F17+H17+J17+L17+N17+P17+R17</f>
        <v>33</v>
      </c>
      <c r="AK3" s="373">
        <f>SUM(AH3:AJ3)-SUM(AM3:AO3)</f>
        <v>56</v>
      </c>
      <c r="AL3" s="374"/>
      <c r="AM3" s="10">
        <f>AH5</f>
        <v>17</v>
      </c>
      <c r="AN3" s="10">
        <f>AI4</f>
        <v>23</v>
      </c>
      <c r="AO3" s="10">
        <f>AJ6</f>
        <v>6</v>
      </c>
      <c r="AP3" s="9">
        <f>SUM(AM3:AO3)</f>
        <v>46</v>
      </c>
    </row>
    <row r="4" spans="2:47" ht="24" customHeight="1">
      <c r="B4" s="200">
        <v>2</v>
      </c>
      <c r="C4" s="407" t="str">
        <f>IF(GROUPS!J5="","",GROUPS!J5)</f>
        <v>Антонио Аврамски (144)</v>
      </c>
      <c r="D4" s="407"/>
      <c r="E4" s="408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100</v>
      </c>
      <c r="Q4" s="111">
        <f>IF(AND(T10="",U13="",U18=""),"",AP4)</f>
        <v>76</v>
      </c>
      <c r="R4" s="378">
        <f>IF(ISERROR(IF(AND(T10="",U13="",U18=""),"",SUM(AB4:AD4)+(N4-O4)/1000)+(AK4/10000)+(AG4/100000)),"",IF(AND(T10="",U13="",U18=""),"",SUM(AB4:AD4)+(N4-O4)/1000)+(AK4/10000)+(AG4/100000))</f>
        <v>5.0053999999999998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Марко Китановски (500)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100</v>
      </c>
      <c r="AH4" s="10">
        <f>F10+H10+J10+L10+N10+P10+R10</f>
        <v>33</v>
      </c>
      <c r="AI4" s="10">
        <f>G13+I13+K13+M13+O13+Q13+S13</f>
        <v>23</v>
      </c>
      <c r="AJ4" s="10">
        <f>G18+I18+K18+M18+O18+Q18+S18</f>
        <v>44</v>
      </c>
      <c r="AK4" s="373">
        <f t="shared" ref="AK4:AK6" si="2">SUM(AH4:AJ4)-SUM(AM4:AO4)</f>
        <v>24</v>
      </c>
      <c r="AL4" s="374"/>
      <c r="AM4" s="10">
        <f>AH6</f>
        <v>7</v>
      </c>
      <c r="AN4" s="10">
        <f>AI3</f>
        <v>35</v>
      </c>
      <c r="AO4" s="10">
        <f>AJ5</f>
        <v>34</v>
      </c>
      <c r="AP4" s="9">
        <f t="shared" ref="AP4:AP6" si="3">SUM(AM4:AO4)</f>
        <v>76</v>
      </c>
    </row>
    <row r="5" spans="2:47" ht="24" customHeight="1">
      <c r="B5" s="200">
        <v>3</v>
      </c>
      <c r="C5" s="407" t="str">
        <f>IF(GROUPS!J6="","",GROUPS!J6)</f>
        <v>Марко Китановски (500)</v>
      </c>
      <c r="D5" s="407"/>
      <c r="E5" s="408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84</v>
      </c>
      <c r="Q5" s="111">
        <f>IF(AND(U9="",T14="",T18=""),"",AP5)</f>
        <v>95</v>
      </c>
      <c r="R5" s="378">
        <f>IF(ISERROR(IF(AND(U9="",T14="",T18=""),"",SUM(AB5:AD5)+(N5-O5)/1000)+(AK5/10000)+(AG5/100000)),"",IF(AND(U9="",T14="",T18=""),"",SUM(AB5:AD5)+(N5-O5)/1000)+(AK5/10000)+(AG5/100000))</f>
        <v>3.9977400000000003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>Огнен Илиески (612)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84</v>
      </c>
      <c r="AH5" s="10">
        <f>G9+I9+K9+M9+O9+Q9+S9</f>
        <v>17</v>
      </c>
      <c r="AI5" s="10">
        <f>F14+H14+J14+L14+N14+P14+R14</f>
        <v>33</v>
      </c>
      <c r="AJ5" s="10">
        <f>F18+H18+J18+L18+N18+P18+R18</f>
        <v>34</v>
      </c>
      <c r="AK5" s="373">
        <f t="shared" si="2"/>
        <v>-11</v>
      </c>
      <c r="AL5" s="374"/>
      <c r="AM5" s="10">
        <f>AH3</f>
        <v>34</v>
      </c>
      <c r="AN5" s="10">
        <f>AI6</f>
        <v>17</v>
      </c>
      <c r="AO5" s="10">
        <f>AJ4</f>
        <v>44</v>
      </c>
      <c r="AP5" s="9">
        <f t="shared" si="3"/>
        <v>95</v>
      </c>
    </row>
    <row r="6" spans="2:47" ht="24" customHeight="1" thickBot="1">
      <c r="B6" s="201">
        <v>4</v>
      </c>
      <c r="C6" s="412" t="str">
        <f>IF(GROUPS!J7="","",GROUPS!J7)</f>
        <v>Огнен Илиески (612)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30</v>
      </c>
      <c r="Q6" s="125">
        <f>IF(AND(U10="",U14="",U17=""),"",AP6)</f>
        <v>99</v>
      </c>
      <c r="R6" s="372">
        <f>IF(ISERROR(IF(AND(U10="",U14="",U17=""),"",SUM(AB6:AD6)+(N6-O6)/1000)+(AK6/10000)+(AG6/100000)),"",IF(AND(U10="",U14="",U17=""),"",SUM(AB6:AD6)+(N6-O6)/1000)+(AK6/10000)+(AG6/100000))</f>
        <v>2.9844000000000004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30</v>
      </c>
      <c r="AH6" s="10">
        <f>G10+I10+K10+M10+O10+Q10+S10</f>
        <v>7</v>
      </c>
      <c r="AI6" s="10">
        <f>G14+I14+K14+M14+O14+Q14+S14</f>
        <v>17</v>
      </c>
      <c r="AJ6" s="10">
        <f>G17+I17+K17+M17+O17+Q17+S17</f>
        <v>6</v>
      </c>
      <c r="AK6" s="373">
        <f t="shared" si="2"/>
        <v>-69</v>
      </c>
      <c r="AL6" s="374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316</v>
      </c>
      <c r="Q7" s="127">
        <f>SUM(Q3:Q6)</f>
        <v>316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Марко Китановски (500)</v>
      </c>
      <c r="F9" s="132">
        <v>12</v>
      </c>
      <c r="G9" s="133">
        <v>10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Антонио Аврамски (144)</v>
      </c>
      <c r="D10" s="140">
        <v>4</v>
      </c>
      <c r="E10" s="141" t="str">
        <f>IF(C6="","",VLOOKUP(D10,$B$3:$E$6,2,FALSE))</f>
        <v>Огнен Илиески (612)</v>
      </c>
      <c r="F10" s="142">
        <v>11</v>
      </c>
      <c r="G10" s="143">
        <v>2</v>
      </c>
      <c r="H10" s="144">
        <v>11</v>
      </c>
      <c r="I10" s="143">
        <v>4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Антонио Аврамски (144)</v>
      </c>
      <c r="F13" s="132">
        <v>11</v>
      </c>
      <c r="G13" s="133">
        <v>6</v>
      </c>
      <c r="H13" s="134">
        <v>11</v>
      </c>
      <c r="I13" s="133">
        <v>6</v>
      </c>
      <c r="J13" s="132">
        <v>13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>Огнен Илиески (612)</v>
      </c>
      <c r="F14" s="142">
        <v>11</v>
      </c>
      <c r="G14" s="143">
        <v>7</v>
      </c>
      <c r="H14" s="144">
        <v>11</v>
      </c>
      <c r="I14" s="143">
        <v>2</v>
      </c>
      <c r="J14" s="142">
        <v>11</v>
      </c>
      <c r="K14" s="145">
        <v>8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>Огнен Илиески (612)</v>
      </c>
      <c r="F17" s="132">
        <v>11</v>
      </c>
      <c r="G17" s="133">
        <v>2</v>
      </c>
      <c r="H17" s="134">
        <v>11</v>
      </c>
      <c r="I17" s="133">
        <v>3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Антонио Аврамски (144)</v>
      </c>
      <c r="F18" s="142">
        <v>10</v>
      </c>
      <c r="G18" s="143">
        <v>12</v>
      </c>
      <c r="H18" s="144">
        <v>7</v>
      </c>
      <c r="I18" s="143">
        <v>11</v>
      </c>
      <c r="J18" s="142">
        <v>12</v>
      </c>
      <c r="K18" s="145">
        <v>10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workbookViewId="0">
      <selection activeCell="AR11" sqref="AR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Филип Ангела (299)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>Филип Ангела (299)</v>
      </c>
      <c r="D3" s="407"/>
      <c r="E3" s="408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103</v>
      </c>
      <c r="Q3" s="111">
        <f>IF(AND(T9="",T13="",T17=""),"",AP3)</f>
        <v>76</v>
      </c>
      <c r="R3" s="378">
        <f>IF(ISERROR(IF(AND(T9="",T13="",T17=""),"",SUM(AB3:AD3)+(N3-O3)/1000)+(AK3/10000)),"",IF(AND(T9="",T13="",T17=""),"",SUM(AB3:AD3)+(N3-O3)/1000)+(AK3/10000)+(AG3/100000))</f>
        <v>6.01173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Кристијан Каламадевски (347)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103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35</v>
      </c>
      <c r="AK3" s="373">
        <f>SUM(AH3:AJ3)-SUM(AM3:AO3)</f>
        <v>27</v>
      </c>
      <c r="AL3" s="374"/>
      <c r="AM3" s="10">
        <f>AH5</f>
        <v>37</v>
      </c>
      <c r="AN3" s="10">
        <f>AI4</f>
        <v>21</v>
      </c>
      <c r="AO3" s="10">
        <f>AJ6</f>
        <v>18</v>
      </c>
      <c r="AP3" s="9">
        <f>SUM(AM3:AO3)</f>
        <v>76</v>
      </c>
    </row>
    <row r="4" spans="2:47" ht="24" customHeight="1">
      <c r="B4" s="200">
        <v>2</v>
      </c>
      <c r="C4" s="407" t="str">
        <f>IF(GROUPS!D10="","",GROUPS!D10)</f>
        <v>Кристијан Каламадевски (347)</v>
      </c>
      <c r="D4" s="407"/>
      <c r="E4" s="408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88</v>
      </c>
      <c r="Q4" s="111">
        <f>IF(AND(T10="",U13="",U18=""),"",AP4)</f>
        <v>77</v>
      </c>
      <c r="R4" s="378">
        <f>IF(ISERROR(IF(AND(T10="",U13="",U18=""),"",SUM(AB4:AD4)+(N4-O4)/1000)+(AK4/10000)+(AG4/100000)),"",IF(AND(T10="",U13="",U18=""),"",SUM(AB4:AD4)+(N4-O4)/1000)+(AK4/10000)+(AG4/100000))</f>
        <v>5.0049800000000007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Мартин Ристески (433)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88</v>
      </c>
      <c r="AH4" s="10">
        <f>F10+H10+J10+L10+N10+P10+R10</f>
        <v>34</v>
      </c>
      <c r="AI4" s="10">
        <f>G13+I13+K13+M13+O13+Q13+S13</f>
        <v>21</v>
      </c>
      <c r="AJ4" s="10">
        <f>G18+I18+K18+M18+O18+Q18+S18</f>
        <v>33</v>
      </c>
      <c r="AK4" s="373">
        <f t="shared" ref="AK4:AK6" si="2">SUM(AH4:AJ4)-SUM(AM4:AO4)</f>
        <v>11</v>
      </c>
      <c r="AL4" s="374"/>
      <c r="AM4" s="10">
        <f>AH6</f>
        <v>22</v>
      </c>
      <c r="AN4" s="10">
        <f>AI3</f>
        <v>33</v>
      </c>
      <c r="AO4" s="10">
        <f>AJ5</f>
        <v>22</v>
      </c>
      <c r="AP4" s="9">
        <f t="shared" ref="AP4:AP6" si="3">SUM(AM4:AO4)</f>
        <v>77</v>
      </c>
    </row>
    <row r="5" spans="2:47" ht="24" customHeight="1">
      <c r="B5" s="200">
        <v>3</v>
      </c>
      <c r="C5" s="407" t="str">
        <f>IF(GROUPS!D11="","",GROUPS!D11)</f>
        <v>Мартин Ристески (433)</v>
      </c>
      <c r="D5" s="407"/>
      <c r="E5" s="408"/>
      <c r="F5" s="198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92</v>
      </c>
      <c r="Q5" s="111">
        <f>IF(AND(U9="",T14="",T18=""),"",AP5)</f>
        <v>82</v>
      </c>
      <c r="R5" s="378">
        <f>IF(ISERROR(IF(AND(U9="",T14="",T18=""),"",SUM(AB5:AD5)+(N5-O5)/1000)+(AK5/10000)+(AG5/100000)),"",IF(AND(U9="",T14="",T18=""),"",SUM(AB5:AD5)+(N5-O5)/1000)+(AK5/10000)+(AG5/100000))</f>
        <v>3.9999199999999999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>Дамјан Петровиќ (536)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92</v>
      </c>
      <c r="AH5" s="10">
        <f>G9+I9+K9+M9+O9+Q9+S9</f>
        <v>37</v>
      </c>
      <c r="AI5" s="10">
        <f>F14+H14+J14+L14+N14+P14+R14</f>
        <v>33</v>
      </c>
      <c r="AJ5" s="10">
        <f>F18+H18+J18+L18+N18+P18+R18</f>
        <v>22</v>
      </c>
      <c r="AK5" s="373">
        <f t="shared" si="2"/>
        <v>10</v>
      </c>
      <c r="AL5" s="374"/>
      <c r="AM5" s="10">
        <f>AH3</f>
        <v>35</v>
      </c>
      <c r="AN5" s="10">
        <f>AI6</f>
        <v>14</v>
      </c>
      <c r="AO5" s="10">
        <f>AJ4</f>
        <v>33</v>
      </c>
      <c r="AP5" s="9">
        <f t="shared" si="3"/>
        <v>82</v>
      </c>
    </row>
    <row r="6" spans="2:47" ht="24" customHeight="1" thickBot="1">
      <c r="B6" s="201">
        <v>4</v>
      </c>
      <c r="C6" s="412" t="str">
        <f>IF(GROUPS!D12="","",GROUPS!D12)</f>
        <v>Дамјан Петровиќ (536)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54</v>
      </c>
      <c r="Q6" s="125">
        <f>IF(AND(U10="",U14="",U17=""),"",AP6)</f>
        <v>102</v>
      </c>
      <c r="R6" s="372">
        <f>IF(ISERROR(IF(AND(U10="",U14="",U17=""),"",SUM(AB6:AD6)+(N6-O6)/1000)+(AK6/10000)+(AG6/100000)),"",IF(AND(U10="",U14="",U17=""),"",SUM(AB6:AD6)+(N6-O6)/1000)+(AK6/10000)+(AG6/100000))</f>
        <v>2.9867400000000002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54</v>
      </c>
      <c r="AH6" s="10">
        <f>G10+I10+K10+M10+O10+Q10+S10</f>
        <v>22</v>
      </c>
      <c r="AI6" s="10">
        <f>G14+I14+K14+M14+O14+Q14+S14</f>
        <v>14</v>
      </c>
      <c r="AJ6" s="10">
        <f>G17+I17+K17+M17+O17+Q17+S17</f>
        <v>18</v>
      </c>
      <c r="AK6" s="373">
        <f t="shared" si="2"/>
        <v>-48</v>
      </c>
      <c r="AL6" s="374"/>
      <c r="AM6" s="10">
        <f>AH4</f>
        <v>34</v>
      </c>
      <c r="AN6" s="10">
        <f>AI5</f>
        <v>33</v>
      </c>
      <c r="AO6" s="10">
        <f>AJ3</f>
        <v>35</v>
      </c>
      <c r="AP6" s="9">
        <f t="shared" si="3"/>
        <v>102</v>
      </c>
    </row>
    <row r="7" spans="2:47" ht="18.600000000000001" thickBot="1">
      <c r="P7" s="127">
        <f>SUM(P3:P6)</f>
        <v>337</v>
      </c>
      <c r="Q7" s="127">
        <f>SUM(Q3:Q6)</f>
        <v>337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Филип Ангела (299)</v>
      </c>
      <c r="D9" s="130">
        <v>3</v>
      </c>
      <c r="E9" s="131" t="str">
        <f>IF(C5="","",VLOOKUP(D9,$B$3:$E$6,2,FALSE))</f>
        <v>Мартин Ристески (433)</v>
      </c>
      <c r="F9" s="132">
        <v>2</v>
      </c>
      <c r="G9" s="133">
        <v>11</v>
      </c>
      <c r="H9" s="134">
        <v>11</v>
      </c>
      <c r="I9" s="133">
        <v>9</v>
      </c>
      <c r="J9" s="132">
        <v>11</v>
      </c>
      <c r="K9" s="135">
        <v>8</v>
      </c>
      <c r="L9" s="134">
        <v>11</v>
      </c>
      <c r="M9" s="133">
        <v>9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>Дамјан Петровиќ (536)</v>
      </c>
      <c r="F10" s="142">
        <v>11</v>
      </c>
      <c r="G10" s="143">
        <v>8</v>
      </c>
      <c r="H10" s="144">
        <v>11</v>
      </c>
      <c r="I10" s="143">
        <v>4</v>
      </c>
      <c r="J10" s="142">
        <v>12</v>
      </c>
      <c r="K10" s="145">
        <v>10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Филип Ангела (299)</v>
      </c>
      <c r="D13" s="130">
        <v>2</v>
      </c>
      <c r="E13" s="131" t="str">
        <f>IF(C4="","",VLOOKUP(D13,$B$3:$E$6,2,FALSE))</f>
        <v>Кристијан Каламадевски (347)</v>
      </c>
      <c r="F13" s="132">
        <v>11</v>
      </c>
      <c r="G13" s="133">
        <v>8</v>
      </c>
      <c r="H13" s="134">
        <v>11</v>
      </c>
      <c r="I13" s="133">
        <v>7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Мартин Ристески (433)</v>
      </c>
      <c r="D14" s="140">
        <v>4</v>
      </c>
      <c r="E14" s="141" t="str">
        <f>IF(C6="","",VLOOKUP(D14,$B$3:$E$6,2,FALSE))</f>
        <v>Дамјан Петровиќ (536)</v>
      </c>
      <c r="F14" s="142">
        <v>11</v>
      </c>
      <c r="G14" s="143">
        <v>3</v>
      </c>
      <c r="H14" s="144">
        <v>11</v>
      </c>
      <c r="I14" s="143">
        <v>4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Филип Ангела (299)</v>
      </c>
      <c r="D17" s="130">
        <v>4</v>
      </c>
      <c r="E17" s="131" t="str">
        <f>IF(C6="","",VLOOKUP(D17,$B$3:$E$6,2,FALSE))</f>
        <v>Дамјан Петровиќ (536)</v>
      </c>
      <c r="F17" s="132">
        <v>11</v>
      </c>
      <c r="G17" s="133">
        <v>1</v>
      </c>
      <c r="H17" s="134">
        <v>13</v>
      </c>
      <c r="I17" s="133">
        <v>11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Мартин Ристески (433)</v>
      </c>
      <c r="D18" s="140">
        <v>2</v>
      </c>
      <c r="E18" s="141" t="str">
        <f>IF(C4="","",VLOOKUP(D18,$B$3:$E$6,2,FALSE))</f>
        <v>Кристијан Каламадевски (347)</v>
      </c>
      <c r="F18" s="142">
        <v>7</v>
      </c>
      <c r="G18" s="143">
        <v>11</v>
      </c>
      <c r="H18" s="144">
        <v>7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Y17" sqref="Y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Андреј Стојановски (47)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>Љупчо Треновски (404)</v>
      </c>
      <c r="D3" s="376"/>
      <c r="E3" s="377"/>
      <c r="F3" s="102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87</v>
      </c>
      <c r="Q3" s="111">
        <f>IF(AND(T9="",T13="",T17=""),"",AP3)</f>
        <v>62</v>
      </c>
      <c r="R3" s="378">
        <f>IF(ISERROR(IF(AND(T9="",T13="",T17=""),"",SUM(AB3:AD3)+(N3-O3)/1000)+(AK3/10000)),"",IF(AND(T9="",T13="",T17=""),"",SUM(AB3:AD3)+(N3-O3)/1000)+(AK3/10000)+(AG3/100000))</f>
        <v>5.0063700000000004</v>
      </c>
      <c r="S3" s="378"/>
      <c r="T3" s="112">
        <f>IF(ISERROR(IF(C3="","",RANK(R3,$R$3:$S$6,0))),"",IF(C3="","",RANK(R3,$R$3:$S$6,0)))</f>
        <v>2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Љупчо Треновски (404)</v>
      </c>
      <c r="Y3" s="383"/>
      <c r="Z3" s="384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87</v>
      </c>
      <c r="AH3" s="10">
        <f>F9+H9+J9+L9+N9+P9+R9</f>
        <v>33</v>
      </c>
      <c r="AI3" s="10">
        <f>F13+H13+J13+L13+N13+P13+R13</f>
        <v>21</v>
      </c>
      <c r="AJ3" s="10">
        <f>F17+H17+J17+L17+N17+P17+R17</f>
        <v>33</v>
      </c>
      <c r="AK3" s="373">
        <f>SUM(AH3:AJ3)-SUM(AM3:AO3)</f>
        <v>25</v>
      </c>
      <c r="AL3" s="374"/>
      <c r="AM3" s="10">
        <f>AH5</f>
        <v>18</v>
      </c>
      <c r="AN3" s="10">
        <f>AI4</f>
        <v>33</v>
      </c>
      <c r="AO3" s="10">
        <f>AJ6</f>
        <v>11</v>
      </c>
      <c r="AP3" s="9">
        <f>SUM(AM3:AO3)</f>
        <v>62</v>
      </c>
    </row>
    <row r="4" spans="2:47" ht="24" customHeight="1">
      <c r="B4" s="101">
        <v>2</v>
      </c>
      <c r="C4" s="375" t="str">
        <f>IF(GROUPS!F10="","",GROUPS!F10)</f>
        <v>Андреј Стојановски (47)</v>
      </c>
      <c r="D4" s="376"/>
      <c r="E4" s="377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99</v>
      </c>
      <c r="Q4" s="111">
        <f>IF(AND(T10="",U13="",U18=""),"",AP4)</f>
        <v>48</v>
      </c>
      <c r="R4" s="378">
        <f>IF(ISERROR(IF(AND(T10="",U13="",U18=""),"",SUM(AB4:AD4)+(N4-O4)/1000)+(AK4/10000)+(AG4/100000)),"",IF(AND(T10="",U13="",U18=""),"",SUM(AB4:AD4)+(N4-O4)/1000)+(AK4/10000)+(AG4/100000))</f>
        <v>6.0150899999999998</v>
      </c>
      <c r="S4" s="378"/>
      <c r="T4" s="112">
        <f>IF(ISERROR(IF(C4="","",RANK(R4,$R$3:$S$6,0))),"",IF(C4="","",RANK(R4,$R$3:$S$6,0)))</f>
        <v>1</v>
      </c>
      <c r="U4" s="9"/>
      <c r="V4" s="9"/>
      <c r="W4" s="7">
        <v>3</v>
      </c>
      <c r="X4" s="379" t="str">
        <f t="shared" si="0"/>
        <v>Андреј Бејковски (440)</v>
      </c>
      <c r="Y4" s="380"/>
      <c r="Z4" s="381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73">
        <f t="shared" ref="AK4:AK6" si="2">SUM(AH4:AJ4)-SUM(AM4:AO4)</f>
        <v>51</v>
      </c>
      <c r="AL4" s="374"/>
      <c r="AM4" s="10">
        <f>AH6</f>
        <v>8</v>
      </c>
      <c r="AN4" s="10">
        <f>AI3</f>
        <v>21</v>
      </c>
      <c r="AO4" s="10">
        <f>AJ5</f>
        <v>19</v>
      </c>
      <c r="AP4" s="9">
        <f t="shared" ref="AP4:AP6" si="3">SUM(AM4:AO4)</f>
        <v>48</v>
      </c>
    </row>
    <row r="5" spans="2:47" ht="24" customHeight="1">
      <c r="B5" s="101">
        <v>3</v>
      </c>
      <c r="C5" s="375" t="str">
        <f>IF(GROUPS!F11="","",GROUPS!F11)</f>
        <v>Андреј Бејковски (440)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70</v>
      </c>
      <c r="Q5" s="111">
        <f>IF(AND(U9="",T14="",T18=""),"",AP5)</f>
        <v>86</v>
      </c>
      <c r="R5" s="378">
        <f>IF(ISERROR(IF(AND(U9="",T14="",T18=""),"",SUM(AB5:AD5)+(N5-O5)/1000)+(AK5/10000)+(AG5/100000)),"",IF(AND(U9="",T14="",T18=""),"",SUM(AB5:AD5)+(N5-O5)/1000)+(AK5/10000)+(AG5/100000))</f>
        <v>3.9961000000000002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>Петар Ристески (619)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70</v>
      </c>
      <c r="AH5" s="10">
        <f>G9+I9+K9+M9+O9+Q9+S9</f>
        <v>18</v>
      </c>
      <c r="AI5" s="10">
        <f>F14+H14+J14+L14+N14+P14+R14</f>
        <v>33</v>
      </c>
      <c r="AJ5" s="10">
        <f>F18+H18+J18+L18+N18+P18+R18</f>
        <v>19</v>
      </c>
      <c r="AK5" s="373">
        <f t="shared" si="2"/>
        <v>-16</v>
      </c>
      <c r="AL5" s="374"/>
      <c r="AM5" s="10">
        <f>AH3</f>
        <v>33</v>
      </c>
      <c r="AN5" s="10">
        <f>AI6</f>
        <v>20</v>
      </c>
      <c r="AO5" s="10">
        <f>AJ4</f>
        <v>33</v>
      </c>
      <c r="AP5" s="9">
        <f t="shared" si="3"/>
        <v>86</v>
      </c>
    </row>
    <row r="6" spans="2:47" ht="24" customHeight="1" thickBot="1">
      <c r="B6" s="116">
        <v>4</v>
      </c>
      <c r="C6" s="369" t="str">
        <f>IF(GROUPS!F12="","",GROUPS!F12)</f>
        <v>Петар Ристески (619)</v>
      </c>
      <c r="D6" s="370"/>
      <c r="E6" s="37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39</v>
      </c>
      <c r="Q6" s="125">
        <f>IF(AND(U10="",U14="",U17=""),"",AP6)</f>
        <v>99</v>
      </c>
      <c r="R6" s="372">
        <f>IF(ISERROR(IF(AND(U10="",U14="",U17=""),"",SUM(AB6:AD6)+(N6-O6)/1000)+(AK6/10000)+(AG6/100000)),"",IF(AND(U10="",U14="",U17=""),"",SUM(AB6:AD6)+(N6-O6)/1000)+(AK6/10000)+(AG6/100000))</f>
        <v>2.9853900000000002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39</v>
      </c>
      <c r="AH6" s="10">
        <f>G10+I10+K10+M10+O10+Q10+S10</f>
        <v>8</v>
      </c>
      <c r="AI6" s="10">
        <f>G14+I14+K14+M14+O14+Q14+S14</f>
        <v>20</v>
      </c>
      <c r="AJ6" s="10">
        <f>G17+I17+K17+M17+O17+Q17+S17</f>
        <v>11</v>
      </c>
      <c r="AK6" s="373">
        <f t="shared" si="2"/>
        <v>-60</v>
      </c>
      <c r="AL6" s="374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295</v>
      </c>
      <c r="Q7" s="127">
        <f>SUM(Q3:Q6)</f>
        <v>295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Љупчо Треновски (404)</v>
      </c>
      <c r="D9" s="130">
        <v>3</v>
      </c>
      <c r="E9" s="131" t="str">
        <f>IF(C5="","",VLOOKUP(D9,$B$3:$E$6,2,FALSE))</f>
        <v>Андреј Бејковски (440)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Стојановски (47)</v>
      </c>
      <c r="D10" s="140">
        <v>4</v>
      </c>
      <c r="E10" s="141" t="str">
        <f>IF(C6="","",VLOOKUP(D10,$B$3:$E$6,2,FALSE))</f>
        <v>Петар Ристески (619)</v>
      </c>
      <c r="F10" s="142">
        <v>11</v>
      </c>
      <c r="G10" s="143">
        <v>3</v>
      </c>
      <c r="H10" s="144">
        <v>11</v>
      </c>
      <c r="I10" s="143">
        <v>2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Љупчо Треновски (404)</v>
      </c>
      <c r="D13" s="130">
        <v>2</v>
      </c>
      <c r="E13" s="131" t="str">
        <f>IF(C4="","",VLOOKUP(D13,$B$3:$E$6,2,FALSE))</f>
        <v>Андреј Стојановски (47)</v>
      </c>
      <c r="F13" s="132">
        <v>6</v>
      </c>
      <c r="G13" s="133">
        <v>11</v>
      </c>
      <c r="H13" s="134">
        <v>9</v>
      </c>
      <c r="I13" s="133">
        <v>11</v>
      </c>
      <c r="J13" s="132">
        <v>6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Андреј Бејковски (440)</v>
      </c>
      <c r="D14" s="140">
        <v>4</v>
      </c>
      <c r="E14" s="141" t="str">
        <f>IF(C6="","",VLOOKUP(D14,$B$3:$E$6,2,FALSE))</f>
        <v>Петар Ристески (619)</v>
      </c>
      <c r="F14" s="142">
        <v>11</v>
      </c>
      <c r="G14" s="143">
        <v>7</v>
      </c>
      <c r="H14" s="144">
        <v>11</v>
      </c>
      <c r="I14" s="143">
        <v>5</v>
      </c>
      <c r="J14" s="142">
        <v>11</v>
      </c>
      <c r="K14" s="145">
        <v>8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Љупчо Треновски (404)</v>
      </c>
      <c r="D17" s="130">
        <v>4</v>
      </c>
      <c r="E17" s="131" t="str">
        <f>IF(C6="","",VLOOKUP(D17,$B$3:$E$6,2,FALSE))</f>
        <v>Петар Ристески (619)</v>
      </c>
      <c r="F17" s="132">
        <v>11</v>
      </c>
      <c r="G17" s="133">
        <v>3</v>
      </c>
      <c r="H17" s="134">
        <v>11</v>
      </c>
      <c r="I17" s="133">
        <v>2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Андреј Бејковски (440)</v>
      </c>
      <c r="D18" s="140">
        <v>2</v>
      </c>
      <c r="E18" s="141" t="str">
        <f>IF(C4="","",VLOOKUP(D18,$B$3:$E$6,2,FALSE))</f>
        <v>Андреј Стојановски (47)</v>
      </c>
      <c r="F18" s="142">
        <v>9</v>
      </c>
      <c r="G18" s="143">
        <v>11</v>
      </c>
      <c r="H18" s="144">
        <v>6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Нико Доага (190)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Лука Огненоски (15)</v>
      </c>
    </row>
    <row r="5" spans="2:42" ht="15.6">
      <c r="B5" s="218" t="s">
        <v>27</v>
      </c>
      <c r="C5" s="210">
        <v>3</v>
      </c>
      <c r="D5" s="211" t="str">
        <f>IF(' II'!$X$2="","",' II'!$X$2)</f>
        <v>Александар Јакимовски (178)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Дарко Китановски (499)</v>
      </c>
    </row>
    <row r="7" spans="2:42" ht="15.6">
      <c r="B7" s="212" t="s">
        <v>29</v>
      </c>
      <c r="C7" s="213">
        <v>5</v>
      </c>
      <c r="D7" s="207" t="str">
        <f>IF(' III'!$X$2="","",' III'!$X$2)</f>
        <v>Борис Секулов (130)</v>
      </c>
      <c r="F7" s="254">
        <v>1</v>
      </c>
      <c r="G7" s="96" t="str">
        <f>IF(F7="","",VLOOKUP(F7,$C$3:$D$8,2,FALSE))</f>
        <v>Нико Доага (190)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Давид Јоноски (287)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Нико Доага (190)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/>
      </c>
    </row>
    <row r="16" spans="2:42" ht="15.6">
      <c r="C16" s="35"/>
      <c r="D16" s="2"/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3:42" ht="15.6">
      <c r="C31" s="35"/>
      <c r="D31" s="2"/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Александар Јакимовски (178)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F44" s="254">
        <v>3</v>
      </c>
      <c r="G44" s="96" t="str">
        <f>IF(F44="","",VLOOKUP(F44,$C$3:$D$8,2,FALSE))</f>
        <v>Александар Јакимовски (178)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Нико Доага (190)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Лука Огненоски (15)</v>
      </c>
    </row>
    <row r="5" spans="2:47" ht="15.6">
      <c r="B5" s="48" t="s">
        <v>27</v>
      </c>
      <c r="C5" s="48">
        <v>3</v>
      </c>
      <c r="D5" s="27" t="str">
        <f>IF(' II'!$X$2="","",' II'!$X$2)</f>
        <v>Александар Јакимовски (178)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Дарко Китановски (499)</v>
      </c>
    </row>
    <row r="7" spans="2:47" ht="15.6">
      <c r="B7" s="48" t="s">
        <v>29</v>
      </c>
      <c r="C7" s="48">
        <v>5</v>
      </c>
      <c r="D7" s="23" t="str">
        <f>IF(' III'!$X$2="","",' III'!$X$2)</f>
        <v>Борис Секулов (130)</v>
      </c>
      <c r="F7" s="314">
        <v>1</v>
      </c>
      <c r="G7" s="151" t="str">
        <f>IF(F7="","",VLOOKUP(F7,$C$3:$D$10,2,FALSE))</f>
        <v>Нико Доага (190)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Давид Јоноски (287)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Лука Стојчев (73)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Антонио Аврамски (144)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/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2"/>
      <c r="AO43" s="422"/>
      <c r="AP43" s="422"/>
    </row>
    <row r="44" spans="3:42">
      <c r="F44" s="314">
        <v>3</v>
      </c>
      <c r="G44" s="151" t="str">
        <f>IF(F44="","",VLOOKUP(F44,$C$3:$D$10,2,FALSE))</f>
        <v>Александар Јакимовски (178)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G1" zoomScale="60" zoomScaleNormal="60" workbookViewId="0">
      <selection activeCell="AL43" sqref="AL4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Нико Доага (190)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Лука Огненоски (15)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Александар Јакимовски (178)</v>
      </c>
      <c r="F5" s="155">
        <v>1</v>
      </c>
      <c r="G5" s="156" t="str">
        <f>IF(F5="","",VLOOKUP(F5,$C$3:$D$18,2,FALSE))</f>
        <v>Нико Доага (190)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Дарко Китановски (499)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Борис Секулов (130)</v>
      </c>
      <c r="F7" s="153"/>
      <c r="P7" s="76"/>
      <c r="Q7" s="96" t="str">
        <f>G5</f>
        <v>Нико Доага (190)</v>
      </c>
      <c r="R7" s="75">
        <v>11</v>
      </c>
      <c r="S7" s="75">
        <v>11</v>
      </c>
      <c r="T7" s="75">
        <v>9</v>
      </c>
      <c r="U7" s="75">
        <v>11</v>
      </c>
      <c r="V7" s="75"/>
      <c r="W7" s="75"/>
      <c r="X7" s="75"/>
      <c r="Y7" s="17">
        <f>IF(R7="","",SUMPRODUCT(--(R7:X7&gt;R8:X8)))</f>
        <v>3</v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Давид Јоноски (287)</v>
      </c>
      <c r="F8" s="153"/>
      <c r="P8" s="82"/>
      <c r="Q8" s="96" t="str">
        <f>IF(O10="","",IF(O10&gt;O11,G10,G11))</f>
        <v>Дарко Китановски (499)</v>
      </c>
      <c r="R8" s="75">
        <v>5</v>
      </c>
      <c r="S8" s="75">
        <v>7</v>
      </c>
      <c r="T8" s="75">
        <v>11</v>
      </c>
      <c r="U8" s="75">
        <v>9</v>
      </c>
      <c r="V8" s="75"/>
      <c r="W8" s="75"/>
      <c r="X8" s="75"/>
      <c r="Y8" s="17">
        <f>IF(R7="","",SUMPRODUCT(--(R7:X7&lt;R8:X8)))</f>
        <v>1</v>
      </c>
    </row>
    <row r="9" spans="2:52" ht="15.6">
      <c r="B9" s="218" t="s">
        <v>30</v>
      </c>
      <c r="C9" s="210">
        <v>7</v>
      </c>
      <c r="D9" s="211" t="str">
        <f>IF(IV!$X$2="","",IV!$X$2)</f>
        <v>Лука Стојчев (73)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Антонио Аврамски (144)</v>
      </c>
      <c r="F10" s="152">
        <v>12</v>
      </c>
      <c r="G10" s="151" t="str">
        <f>IF(F10="","",VLOOKUP(F10,$C$3:$D$18,2,FALSE))</f>
        <v>Љупчо Треновски (404)</v>
      </c>
      <c r="H10" s="75">
        <v>3</v>
      </c>
      <c r="I10" s="75">
        <v>2</v>
      </c>
      <c r="J10" s="75">
        <v>4</v>
      </c>
      <c r="K10" s="75"/>
      <c r="L10" s="75"/>
      <c r="M10" s="75"/>
      <c r="N10" s="75"/>
      <c r="O10" s="17">
        <f>IF(H10="","",SUMPRODUCT(--(H10:N10&gt;H11:N11)))</f>
        <v>0</v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>Филип Ангела (299)</v>
      </c>
      <c r="F11" s="154">
        <v>4</v>
      </c>
      <c r="G11" s="151" t="str">
        <f>IF(F11="","",VLOOKUP(F11,$C$3:$D$18,2,FALSE))</f>
        <v>Дарко Китановски (499)</v>
      </c>
      <c r="H11" s="75">
        <v>11</v>
      </c>
      <c r="I11" s="75">
        <v>11</v>
      </c>
      <c r="J11" s="75">
        <v>11</v>
      </c>
      <c r="K11" s="75"/>
      <c r="L11" s="75"/>
      <c r="M11" s="75"/>
      <c r="N11" s="75"/>
      <c r="O11" s="17">
        <f>IF(H10="","",SUMPRODUCT(--(H10:N10&lt;H11:N11)))</f>
        <v>3</v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>Кристијан Каламадевски (347)</v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>Андреј Стојановски (47)</v>
      </c>
      <c r="F13" s="153"/>
      <c r="O13" s="8"/>
      <c r="Z13" s="76"/>
      <c r="AA13" s="95" t="str">
        <f>IF(Y7="","",IF(Y7&gt;Y8,Q7,Q8))</f>
        <v>Нико Доага (190)</v>
      </c>
      <c r="AB13" s="75">
        <v>4</v>
      </c>
      <c r="AC13" s="75">
        <v>9</v>
      </c>
      <c r="AD13" s="75">
        <v>7</v>
      </c>
      <c r="AE13" s="75"/>
      <c r="AF13" s="75"/>
      <c r="AG13" s="75"/>
      <c r="AH13" s="75"/>
      <c r="AI13" s="17">
        <f>IF(AB13="","",SUMPRODUCT(--(AB13:AH13&gt;AB14:AH14)))</f>
        <v>0</v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>Љупчо Треновски (404)</v>
      </c>
      <c r="F14" s="153"/>
      <c r="O14" s="8"/>
      <c r="Z14" s="82"/>
      <c r="AA14" s="95" t="str">
        <f>IF(Y19="","",IF(Y19&gt;Y20,Q19,Q20))</f>
        <v>Лука Стојчев (73)</v>
      </c>
      <c r="AB14" s="75">
        <v>11</v>
      </c>
      <c r="AC14" s="75">
        <v>11</v>
      </c>
      <c r="AD14" s="75">
        <v>11</v>
      </c>
      <c r="AE14" s="75"/>
      <c r="AF14" s="75"/>
      <c r="AG14" s="75"/>
      <c r="AH14" s="75"/>
      <c r="AI14" s="17">
        <f>IF(AB13="","",SUMPRODUCT(--(AB13:AH13&lt;AB14:AH14)))</f>
        <v>3</v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>Александар Јакимовски (178)</v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>Лука Стојчев (73)</v>
      </c>
      <c r="AX16" s="434"/>
      <c r="AY16" s="435" t="str">
        <f>IF(AT25=AT26,"",IF(AT34=AT35,AL34,IF(AT34&gt;AT35,AL34,AL35)))</f>
        <v>Нико Доага (190)</v>
      </c>
    </row>
    <row r="17" spans="3:52" ht="15.6">
      <c r="C17" s="35"/>
      <c r="D17" s="2"/>
      <c r="E17" t="s">
        <v>697</v>
      </c>
      <c r="F17" s="155">
        <v>9</v>
      </c>
      <c r="G17" s="156" t="str">
        <f>IF(F17="","",VLOOKUP(F17,$C$3:$D$18,2,FALSE))</f>
        <v>Филип Ангела (299)</v>
      </c>
      <c r="H17" s="157">
        <v>11</v>
      </c>
      <c r="I17" s="157">
        <v>7</v>
      </c>
      <c r="J17" s="157">
        <v>11</v>
      </c>
      <c r="K17" s="157">
        <v>11</v>
      </c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>
        <v>6</v>
      </c>
      <c r="G18" s="151" t="str">
        <f>IF(F18="","",VLOOKUP(F18,$C$3:$D$18,2,FALSE))</f>
        <v>Давид Јоноски (287)</v>
      </c>
      <c r="H18" s="75">
        <v>6</v>
      </c>
      <c r="I18" s="75">
        <v>11</v>
      </c>
      <c r="J18" s="75">
        <v>1</v>
      </c>
      <c r="K18" s="75">
        <v>9</v>
      </c>
      <c r="L18" s="75"/>
      <c r="M18" s="75"/>
      <c r="N18" s="75"/>
      <c r="O18" s="17">
        <f>IF(H18="","",SUMPRODUCT(--(H18:N18&gt;H19:N19)))</f>
        <v>4</v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>Филип Ангела (299)</v>
      </c>
      <c r="R19" s="75">
        <v>11</v>
      </c>
      <c r="S19" s="75">
        <v>2</v>
      </c>
      <c r="T19" s="75">
        <v>6</v>
      </c>
      <c r="U19" s="75">
        <v>6</v>
      </c>
      <c r="V19" s="75"/>
      <c r="W19" s="75"/>
      <c r="X19" s="75"/>
      <c r="Y19" s="17">
        <f>IF(R19="","",SUMPRODUCT(--(R19:X19&gt;R20:X20)))</f>
        <v>1</v>
      </c>
      <c r="AI19" s="80"/>
      <c r="AY19" s="436" t="str">
        <f>IF(AT25=AT26,"",IF(OR(AT34&gt;AT35,AT34&lt;AT35),"",AL35))</f>
        <v>Борис Секулов (130)</v>
      </c>
    </row>
    <row r="20" spans="3:52" ht="16.2" thickBot="1">
      <c r="C20" s="35"/>
      <c r="D20" s="2"/>
      <c r="F20" s="153"/>
      <c r="P20" s="82"/>
      <c r="Q20" s="96" t="s">
        <v>846</v>
      </c>
      <c r="R20" s="75">
        <v>9</v>
      </c>
      <c r="S20" s="75">
        <v>11</v>
      </c>
      <c r="T20" s="75">
        <v>11</v>
      </c>
      <c r="U20" s="75">
        <v>11</v>
      </c>
      <c r="V20" s="75"/>
      <c r="W20" s="75"/>
      <c r="X20" s="75"/>
      <c r="Y20" s="17">
        <f>IF(R19="","",SUMPRODUCT(--(R19:X19&lt;R20:X20)))</f>
        <v>3</v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>
        <v>7</v>
      </c>
      <c r="G23" s="151" t="str">
        <f>IF(F23="","",VLOOKUP(F23,$C$3:$D$18,2,FALSE))</f>
        <v>Лука Стојчев (73)</v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>Лука Стојчев (73)</v>
      </c>
      <c r="AM25" s="75">
        <v>6</v>
      </c>
      <c r="AN25" s="75">
        <v>9</v>
      </c>
      <c r="AO25" s="75">
        <v>11</v>
      </c>
      <c r="AP25" s="75">
        <v>10</v>
      </c>
      <c r="AQ25" s="75"/>
      <c r="AR25" s="75"/>
      <c r="AS25" s="75"/>
      <c r="AT25" s="17">
        <f>IF(AM25="","",SUMPRODUCT(--(AM25:AS25&gt;AM26:AS26)))</f>
        <v>1</v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Александар Јакимовски (178)</v>
      </c>
      <c r="AM26" s="75">
        <v>11</v>
      </c>
      <c r="AN26" s="75">
        <v>11</v>
      </c>
      <c r="AO26" s="75">
        <v>4</v>
      </c>
      <c r="AP26" s="75">
        <v>12</v>
      </c>
      <c r="AQ26" s="75"/>
      <c r="AR26" s="75"/>
      <c r="AS26" s="75"/>
      <c r="AT26" s="17">
        <f>IF(AM25="","",SUMPRODUCT(--(AM25:AS25&lt;AM26:AS26)))</f>
        <v>3</v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>Александар Јакимовски (178)</v>
      </c>
      <c r="AY28" s="447"/>
      <c r="AZ28" s="447"/>
    </row>
    <row r="29" spans="3:52" ht="15.6">
      <c r="C29" s="35"/>
      <c r="D29" s="2"/>
      <c r="E29" t="s">
        <v>696</v>
      </c>
      <c r="F29" s="155">
        <v>5</v>
      </c>
      <c r="G29" s="156" t="str">
        <f>IF(F29="","",VLOOKUP(F29,$C$3:$D$18,2,FALSE))</f>
        <v>Борис Секулов (130)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>Лука Стојчев (73)</v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>Нико Доага (190)</v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>Борис Секулов (130)</v>
      </c>
      <c r="R31" s="75">
        <v>11</v>
      </c>
      <c r="S31" s="75">
        <v>11</v>
      </c>
      <c r="T31" s="75">
        <v>11</v>
      </c>
      <c r="U31" s="75"/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>Борис Секулов (130)</v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>Андреј Стојановски (47)</v>
      </c>
      <c r="R32" s="75">
        <v>5</v>
      </c>
      <c r="S32" s="75">
        <v>7</v>
      </c>
      <c r="T32" s="75">
        <v>4</v>
      </c>
      <c r="U32" s="75"/>
      <c r="V32" s="75"/>
      <c r="W32" s="75"/>
      <c r="X32" s="75"/>
      <c r="Y32" s="17">
        <f>IF(R31="","",SUMPRODUCT(--(R31:X31&lt;R32:X32)))</f>
        <v>0</v>
      </c>
      <c r="AI32" s="80"/>
      <c r="AK32" s="38"/>
      <c r="AV32" s="87">
        <v>5</v>
      </c>
      <c r="AW32" s="88" t="s">
        <v>80</v>
      </c>
      <c r="AX32" s="429" t="str">
        <f>IF(Y7="","",IF(Y7&lt;Y8,Q7,Q8))</f>
        <v>Дарко Китановски (499)</v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>Филип Ангела (299)</v>
      </c>
      <c r="AY33" s="429"/>
      <c r="AZ33" s="429"/>
    </row>
    <row r="34" spans="3:52" ht="15.6">
      <c r="C34" s="35"/>
      <c r="D34" s="2"/>
      <c r="F34" s="152">
        <v>2</v>
      </c>
      <c r="G34" s="151" t="str">
        <f>IF(F34="","",VLOOKUP(F34,$C$3:$D$18,2,FALSE))</f>
        <v>Лука Огненоски (15)</v>
      </c>
      <c r="H34" s="75">
        <v>2</v>
      </c>
      <c r="I34" s="75">
        <v>6</v>
      </c>
      <c r="J34" s="75">
        <v>9</v>
      </c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Нико Доага (190)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>Андреј Стојановски (47)</v>
      </c>
      <c r="AY34" s="429"/>
      <c r="AZ34" s="429"/>
    </row>
    <row r="35" spans="3:52">
      <c r="E35" t="s">
        <v>697</v>
      </c>
      <c r="F35" s="154">
        <v>11</v>
      </c>
      <c r="G35" s="151" t="str">
        <f>IF(F35="","",VLOOKUP(F35,$C$3:$D$18,2,FALSE))</f>
        <v>Андреј Стојановски (47)</v>
      </c>
      <c r="H35" s="75">
        <v>11</v>
      </c>
      <c r="I35" s="75">
        <v>11</v>
      </c>
      <c r="J35" s="75">
        <v>11</v>
      </c>
      <c r="K35" s="75"/>
      <c r="L35" s="75"/>
      <c r="M35" s="75"/>
      <c r="N35" s="75"/>
      <c r="O35" s="17">
        <f>IF(H34="","",SUMPRODUCT(--(H34:N34&lt;H35:N35)))</f>
        <v>3</v>
      </c>
      <c r="Z35" s="76"/>
      <c r="AI35" s="80"/>
      <c r="AL35" s="98" t="str">
        <f>IF(AI37="","",IF(AI37&lt;AI38,AA37,AA38))</f>
        <v>Борис Секулов (130)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>Антонио Аврамски (144)</v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>Борис Секулов (130)</v>
      </c>
      <c r="AB37" s="75">
        <v>8</v>
      </c>
      <c r="AC37" s="75">
        <v>10</v>
      </c>
      <c r="AD37" s="75">
        <v>3</v>
      </c>
      <c r="AE37" s="75"/>
      <c r="AF37" s="75"/>
      <c r="AG37" s="75"/>
      <c r="AH37" s="75"/>
      <c r="AI37" s="17">
        <f>IF(AB37="","",SUMPRODUCT(--(AB37:AH37&gt;AB38:AH38)))</f>
        <v>0</v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>Александар Јакимовски (178)</v>
      </c>
      <c r="AB38" s="75">
        <v>11</v>
      </c>
      <c r="AC38" s="75">
        <v>12</v>
      </c>
      <c r="AD38" s="75">
        <v>11</v>
      </c>
      <c r="AE38" s="75"/>
      <c r="AF38" s="75"/>
      <c r="AG38" s="75"/>
      <c r="AH38" s="75"/>
      <c r="AI38" s="17">
        <f>IF(AB37="","",SUMPRODUCT(--(AB37:AH37&lt;AB38:AH38)))</f>
        <v>3</v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>
        <v>8</v>
      </c>
      <c r="G41" s="156" t="str">
        <f>IF(F41="","",VLOOKUP(F41,$C$3:$D$18,2,FALSE))</f>
        <v>Антонио Аврамски (144)</v>
      </c>
      <c r="H41" s="157">
        <v>11</v>
      </c>
      <c r="I41" s="157">
        <v>7</v>
      </c>
      <c r="J41" s="157">
        <v>7</v>
      </c>
      <c r="K41" s="157">
        <v>11</v>
      </c>
      <c r="L41" s="157">
        <v>11</v>
      </c>
      <c r="M41" s="157"/>
      <c r="N41" s="157"/>
      <c r="O41" s="158">
        <v>3</v>
      </c>
      <c r="Y41" s="8"/>
      <c r="Z41" s="76"/>
      <c r="AV41" s="163"/>
      <c r="AW41" s="4"/>
      <c r="AX41" s="422"/>
      <c r="AY41" s="422"/>
      <c r="AZ41" s="422"/>
    </row>
    <row r="42" spans="3:52" ht="15.6">
      <c r="F42" s="152">
        <v>10</v>
      </c>
      <c r="G42" s="151" t="str">
        <f>IF(F42="","",VLOOKUP(F42,$C$3:$D$18,2,FALSE))</f>
        <v>Кристијан Каламадевски (347)</v>
      </c>
      <c r="H42" s="75">
        <v>5</v>
      </c>
      <c r="I42" s="75">
        <v>11</v>
      </c>
      <c r="J42" s="75">
        <v>11</v>
      </c>
      <c r="K42" s="75">
        <v>7</v>
      </c>
      <c r="L42" s="75">
        <v>7</v>
      </c>
      <c r="M42" s="75"/>
      <c r="N42" s="75"/>
      <c r="O42" s="17">
        <v>2</v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>Антонио Аврамски (144)</v>
      </c>
      <c r="R43" s="75">
        <v>5</v>
      </c>
      <c r="S43" s="75">
        <v>4</v>
      </c>
      <c r="T43" s="75">
        <v>4</v>
      </c>
      <c r="U43" s="75"/>
      <c r="V43" s="75"/>
      <c r="W43" s="75"/>
      <c r="X43" s="75"/>
      <c r="Y43" s="17">
        <f>IF(R43="","",SUMPRODUCT(--(R43:X43&gt;R44:X44)))</f>
        <v>0</v>
      </c>
      <c r="AV43" s="163"/>
      <c r="AW43" s="4"/>
      <c r="AX43" s="422"/>
      <c r="AY43" s="422"/>
      <c r="AZ43" s="422"/>
    </row>
    <row r="44" spans="3:52">
      <c r="F44" s="153"/>
      <c r="P44" s="82"/>
      <c r="Q44" s="96" t="s">
        <v>847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Александар Јакимовски (178)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Нико Доага (190)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Лука Огненоски (15)</v>
      </c>
      <c r="E4">
        <v>1</v>
      </c>
      <c r="F4" s="152">
        <v>1</v>
      </c>
      <c r="G4" s="151" t="str">
        <f>IF(F4="","",VLOOKUP(F4,$C$3:$D$18,2,FALSE))</f>
        <v>Нико Доага (190)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Александар Јакимовски (178)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Дарко Китановски (499)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Борис Секулов (130)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Давид Јоноски (287)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Лука Стојчев (73)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Антонио Аврамски (144)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Филип Ангела (299)</v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Кристијан Каламадевски (347)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>Андреј Стојановски (47)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>Љупчо Треновски (404)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Лука Огненоски (15)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Нико Доага (190)</v>
      </c>
      <c r="E3" s="58" t="s">
        <v>530</v>
      </c>
      <c r="F3">
        <v>1</v>
      </c>
      <c r="G3" s="47">
        <v>1</v>
      </c>
      <c r="H3" s="70" t="str">
        <f>IF(G3="","",VLOOKUP(G3,$C$3:$F$26,2,FALSE))</f>
        <v>Нико Доага (190)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Нико Доага (190)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Дарко Китановски (499)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Борис Секулов (130)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Давид Јоноски (287)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Лука Стојчев (73)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Антонио Аврамски (144)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Кристијан Каламадевски (347)</v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Стојановски (47)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Љупчо Треновски (404)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Александар Јакимовски (178)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Александар Јакимовски (178)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Нико Доага (190)</v>
      </c>
      <c r="E3" s="316" t="s">
        <v>524</v>
      </c>
      <c r="F3">
        <v>1</v>
      </c>
      <c r="G3" s="47">
        <v>1</v>
      </c>
      <c r="H3" s="70" t="str">
        <f>IF(G3="","",VLOOKUP(G3,$C$3:$E$26,2,FALSE))</f>
        <v>Нико Доага (190)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Нико Доага (190)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Дарко Китановски (499)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Борис Секулов (130)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Давид Јоноски (287)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Лука Стојчев (73)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Антонио Аврамски (144)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Кристијан Каламадевски (347)</v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Стојановски (47)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Љупчо Треновски (404)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Александар Јакимовски (178)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Александар Јакимовски (178)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Нико Доага (190)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Лука Огненоски (15)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Александар Јакимовски (178)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Дарко Китановски (499)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Борис Секулов (130)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Давид Јоноски (287)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Лука Стојчев (73)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Антонио Аврамски (144)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Филип Ангела (299)</v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Кристијан Каламадевски (347)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Андреј Стојановски (47)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Љупчо Треновски (404)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Нико Доага (190)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Лука Огненоски (15)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Дарко Китановски (499)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Борис Секулов (130)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Давид Јоноски (287)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Лука Стојчев (73)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Антонио Аврамски (144)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Филип Ангела (299)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Кристијан Каламадевски (347)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Андреј Стојановски (47)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Љупчо Треновски (404)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2024-03-03T16:26:48Z</dcterms:modified>
</cp:coreProperties>
</file>