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E25C20CF-DE49-498A-883A-A48FA831B0D8}" xr6:coauthVersionLast="47" xr6:coauthVersionMax="47" xr10:uidLastSave="{00000000-0000-0000-0000-000000000000}"/>
  <bookViews>
    <workbookView xWindow="-108" yWindow="-108" windowWidth="23256" windowHeight="12576" tabRatio="926" activeTab="22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26" l="1"/>
  <c r="G46" i="26"/>
  <c r="O18" i="26" l="1"/>
  <c r="G18" i="26"/>
  <c r="O42" i="26"/>
  <c r="G42" i="26"/>
  <c r="K20" i="19" l="1"/>
  <c r="K9" i="19"/>
  <c r="K3" i="19"/>
  <c r="K25" i="19"/>
  <c r="K23" i="19"/>
  <c r="K16" i="19"/>
  <c r="K26" i="19"/>
  <c r="K27" i="19"/>
  <c r="K18" i="19"/>
  <c r="K10" i="19"/>
  <c r="K21" i="19"/>
  <c r="K6" i="19"/>
  <c r="K22" i="19"/>
  <c r="K8" i="19"/>
  <c r="K28" i="19"/>
  <c r="K15" i="19"/>
  <c r="K11" i="19"/>
  <c r="K29" i="19"/>
  <c r="K14" i="19"/>
  <c r="K7" i="19"/>
  <c r="K24" i="19"/>
  <c r="K17" i="19"/>
  <c r="K19" i="19"/>
  <c r="K30" i="19"/>
  <c r="K5" i="19"/>
  <c r="K13" i="19"/>
  <c r="K31" i="19"/>
  <c r="K32" i="19"/>
  <c r="K1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4" i="19"/>
  <c r="J4" i="19"/>
  <c r="I4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9" i="19"/>
  <c r="J3" i="19"/>
  <c r="J25" i="19"/>
  <c r="J23" i="19"/>
  <c r="J16" i="19"/>
  <c r="J26" i="19"/>
  <c r="J27" i="19"/>
  <c r="J18" i="19"/>
  <c r="J10" i="19"/>
  <c r="J21" i="19"/>
  <c r="J6" i="19"/>
  <c r="J22" i="19"/>
  <c r="J8" i="19"/>
  <c r="J28" i="19"/>
  <c r="J15" i="19"/>
  <c r="J11" i="19"/>
  <c r="J29" i="19"/>
  <c r="J14" i="19"/>
  <c r="J7" i="19"/>
  <c r="J24" i="19"/>
  <c r="J17" i="19"/>
  <c r="J19" i="19"/>
  <c r="J30" i="19"/>
  <c r="J5" i="19"/>
  <c r="J13" i="19"/>
  <c r="J31" i="19"/>
  <c r="J32" i="19"/>
  <c r="J1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20" i="19"/>
  <c r="I20" i="19"/>
  <c r="I9" i="19"/>
  <c r="I3" i="19"/>
  <c r="I25" i="19"/>
  <c r="I23" i="19"/>
  <c r="I16" i="19"/>
  <c r="I26" i="19"/>
  <c r="I27" i="19"/>
  <c r="I18" i="19"/>
  <c r="D10" i="19" s="1"/>
  <c r="I10" i="19"/>
  <c r="I21" i="19"/>
  <c r="I6" i="19"/>
  <c r="I22" i="19"/>
  <c r="I8" i="19"/>
  <c r="I28" i="19"/>
  <c r="I15" i="19"/>
  <c r="I11" i="19"/>
  <c r="I29" i="19"/>
  <c r="I14" i="19"/>
  <c r="I7" i="19"/>
  <c r="I24" i="19"/>
  <c r="I17" i="19"/>
  <c r="I19" i="19"/>
  <c r="I30" i="19"/>
  <c r="I5" i="19"/>
  <c r="I13" i="19"/>
  <c r="I31" i="19"/>
  <c r="I32" i="19"/>
  <c r="I1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H5" i="7"/>
  <c r="I3" i="7"/>
  <c r="I6" i="7"/>
  <c r="F5" i="7"/>
  <c r="AJ6" i="7"/>
  <c r="AO3" i="7" s="1"/>
  <c r="AI6" i="7"/>
  <c r="AN5" i="7" s="1"/>
  <c r="AH6" i="7"/>
  <c r="AM4" i="7" s="1"/>
  <c r="K6" i="7"/>
  <c r="J6" i="7"/>
  <c r="AD6" i="7" s="1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5" i="7" l="1"/>
  <c r="AB3" i="7"/>
  <c r="AC6" i="7"/>
  <c r="AB6" i="6"/>
  <c r="AD3" i="6"/>
  <c r="AD5" i="6"/>
  <c r="AD6" i="6"/>
  <c r="AD3" i="8"/>
  <c r="AC6" i="24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P3" i="7" s="1"/>
  <c r="AG3" i="6"/>
  <c r="P3" i="6" s="1"/>
  <c r="AP6" i="6"/>
  <c r="Q6" i="6" s="1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N3" i="7"/>
  <c r="L4" i="7"/>
  <c r="AD4" i="7" s="1"/>
  <c r="F6" i="7"/>
  <c r="AB6" i="7" s="1"/>
  <c r="AN4" i="7"/>
  <c r="AK4" i="7" s="1"/>
  <c r="AK5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6" i="7" l="1"/>
  <c r="O4" i="24"/>
  <c r="AD3" i="24"/>
  <c r="N6" i="24"/>
  <c r="N4" i="24"/>
  <c r="O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7" l="1"/>
  <c r="R4" i="24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4" i="19"/>
  <c r="D45" i="36" l="1"/>
  <c r="D46" i="36"/>
  <c r="D38" i="36"/>
  <c r="D37" i="36"/>
  <c r="D4" i="1"/>
  <c r="C3" i="37" s="1"/>
  <c r="M23" i="19"/>
  <c r="M16" i="19"/>
  <c r="M26" i="19"/>
  <c r="M27" i="19"/>
  <c r="M18" i="19"/>
  <c r="M10" i="19"/>
  <c r="M21" i="19"/>
  <c r="M6" i="19"/>
  <c r="M22" i="19"/>
  <c r="M8" i="19"/>
  <c r="M28" i="19"/>
  <c r="M15" i="19"/>
  <c r="M11" i="19"/>
  <c r="M29" i="19"/>
  <c r="M14" i="19"/>
  <c r="M7" i="19"/>
  <c r="M24" i="19"/>
  <c r="M17" i="19"/>
  <c r="M19" i="19"/>
  <c r="M30" i="19"/>
  <c r="M5" i="19"/>
  <c r="M13" i="19"/>
  <c r="M31" i="19"/>
  <c r="M32" i="19"/>
  <c r="M1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20" i="19"/>
  <c r="M9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<sst xmlns="http://schemas.openxmlformats.org/spreadsheetml/2006/main" count="2534" uniqueCount="854">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</sst>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0" borderId="79" xfId="0" applyBorder="1"/>
    <xf numFmtId="0" fontId="0" fillId="0" borderId="0" xfId="0" applyAlignment="1">
      <alignment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workbookViewId="0">
      <selection activeCell="G23" sqref="G23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1" t="s">
        <v>123</v>
      </c>
      <c r="C1" s="352"/>
      <c r="D1" s="352"/>
      <c r="E1" s="352"/>
      <c r="F1" s="353" t="s">
        <v>121</v>
      </c>
      <c r="G1" s="354"/>
      <c r="H1" s="354"/>
      <c r="I1" s="354"/>
      <c r="J1" s="354"/>
      <c r="K1" s="354"/>
      <c r="L1" s="354"/>
      <c r="M1" s="354"/>
      <c r="N1" s="354"/>
      <c r="O1" s="355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6" t="s">
        <v>62</v>
      </c>
      <c r="C3" s="267">
        <v>1</v>
      </c>
      <c r="D3" s="293" t="str">
        <f>IF(ISERROR(VLOOKUP(C3,$G$3:$I$66,3,FALSE)),"",(VLOOKUP(C3,$G$3:$I$66,3,FALSE)))</f>
        <v>Лука Стојчев (73)</v>
      </c>
      <c r="E3" s="294" t="str">
        <f>IF(D3="","",INDEX($J$3:$J$42,MATCH(C3,$G$3:$G$42,0)))</f>
        <v xml:space="preserve">Младост </v>
      </c>
      <c r="F3" s="299">
        <v>4</v>
      </c>
      <c r="G3" s="250">
        <v>1</v>
      </c>
      <c r="H3" s="36">
        <v>73</v>
      </c>
      <c r="I3" s="300" t="str">
        <f>IF(ISERROR(VLOOKUP(H3,Baza!A:C,2,FALSE)&amp;" "&amp;"("&amp;H3&amp;")"),"",(VLOOKUP(H3,Baza!A:C,2,FALSE)&amp;" "&amp;"("&amp;H3&amp;")"))</f>
        <v>Лука Стојчев (73)</v>
      </c>
      <c r="J3" s="300" t="str">
        <f>IF(ISERROR(VLOOKUP(H3,Baza!A:C,3,FALSE)),"",(VLOOKUP(H3,Baza!A:C,3,FALSE)))</f>
        <v xml:space="preserve">Младост 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4</v>
      </c>
      <c r="O3" s="250">
        <v>814</v>
      </c>
    </row>
    <row r="4" spans="2:17">
      <c r="B4" s="357"/>
      <c r="C4" s="265">
        <v>2</v>
      </c>
      <c r="D4" s="287" t="str">
        <f t="shared" ref="D4:D67" si="1">IF(ISERROR(VLOOKUP(C4,$G$3:$I$66,3,FALSE)),"",(VLOOKUP(C4,$G$3:$I$66,3,FALSE)))</f>
        <v>Давид Јоноски (287)</v>
      </c>
      <c r="E4" s="288" t="str">
        <f t="shared" ref="E4:E66" si="2">IF(D4="","",INDEX($J$3:$J$42,MATCH(C4,$G$3:$G$42,0)))</f>
        <v>Младост 96</v>
      </c>
      <c r="F4" s="284">
        <v>1</v>
      </c>
      <c r="G4" s="243">
        <v>5</v>
      </c>
      <c r="H4" s="36">
        <v>190</v>
      </c>
      <c r="I4" s="252" t="str">
        <f>IF(ISERROR(VLOOKUP(H4,Baza!A:C,2,FALSE)&amp;" "&amp;"("&amp;H4&amp;")"),"",(VLOOKUP(H4,Baza!A:C,2,FALSE)&amp;" "&amp;"("&amp;H4&amp;")"))</f>
        <v>Нико Доага (190)</v>
      </c>
      <c r="J4" s="252" t="str">
        <f>IF(ISERROR(VLOOKUP(H4,Baza!A:C,3,FALSE)),"",(VLOOKUP(H4,Baza!A:C,3,FALSE)))</f>
        <v>Младост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</v>
      </c>
      <c r="O4" s="243">
        <v>760</v>
      </c>
    </row>
    <row r="5" spans="2:17">
      <c r="B5" s="357"/>
      <c r="C5" s="265">
        <v>3</v>
      </c>
      <c r="D5" s="287" t="str">
        <f t="shared" si="1"/>
        <v>Ненад Тиловски (129)</v>
      </c>
      <c r="E5" s="288" t="str">
        <f t="shared" si="2"/>
        <v>Телеком НЕЦ 2</v>
      </c>
      <c r="F5" s="284">
        <v>26</v>
      </c>
      <c r="G5" s="243">
        <v>9</v>
      </c>
      <c r="H5" s="36">
        <v>178</v>
      </c>
      <c r="I5" s="252" t="str">
        <f>IF(ISERROR(VLOOKUP(H5,Baza!A:C,2,FALSE)&amp;" "&amp;"("&amp;H5&amp;")"),"",(VLOOKUP(H5,Baza!A:C,2,FALSE)&amp;" "&amp;"("&amp;H5&amp;")"))</f>
        <v>Александар Јакимовски (178)</v>
      </c>
      <c r="J5" s="252" t="str">
        <f>IF(ISERROR(VLOOKUP(H5,Baza!A:C,3,FALSE)),"",(VLOOKUP(H5,Baza!A:C,3,FALSE)))</f>
        <v>Крива Паланка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26</v>
      </c>
      <c r="O5" s="243">
        <v>736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13</v>
      </c>
      <c r="G6" s="250">
        <v>13</v>
      </c>
      <c r="H6" s="36">
        <v>130</v>
      </c>
      <c r="I6" s="252" t="str">
        <f>IF(ISERROR(VLOOKUP(H6,Baza!A:C,2,FALSE)&amp;" "&amp;"("&amp;H6&amp;")"),"",(VLOOKUP(H6,Baza!A:C,2,FALSE)&amp;" "&amp;"("&amp;H6&amp;")"))</f>
        <v>Борис Секулов (130)</v>
      </c>
      <c r="J6" s="252" t="str">
        <f>IF(ISERROR(VLOOKUP(H6,Baza!A:C,3,FALSE)),"",(VLOOKUP(H6,Baza!A:C,3,FALSE)))</f>
        <v>Астраион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13</v>
      </c>
      <c r="O6" s="243">
        <v>539</v>
      </c>
    </row>
    <row r="7" spans="2:17">
      <c r="B7" s="359" t="s">
        <v>63</v>
      </c>
      <c r="C7" s="264">
        <v>5</v>
      </c>
      <c r="D7" s="285" t="str">
        <f t="shared" si="1"/>
        <v>Нико Доага (190)</v>
      </c>
      <c r="E7" s="286" t="str">
        <f t="shared" si="2"/>
        <v>Младост</v>
      </c>
      <c r="F7" s="284">
        <v>21</v>
      </c>
      <c r="G7" s="243">
        <v>17</v>
      </c>
      <c r="H7" s="36">
        <v>299</v>
      </c>
      <c r="I7" s="252" t="str">
        <f>IF(ISERROR(VLOOKUP(H7,Baza!A:C,2,FALSE)&amp;" "&amp;"("&amp;H7&amp;")"),"",(VLOOKUP(H7,Baza!A:C,2,FALSE)&amp;" "&amp;"("&amp;H7&amp;")"))</f>
        <v>Филип Ангела (299)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21</v>
      </c>
      <c r="O7" s="243">
        <v>344</v>
      </c>
    </row>
    <row r="8" spans="2:17">
      <c r="B8" s="357"/>
      <c r="C8" s="265">
        <v>6</v>
      </c>
      <c r="D8" s="287" t="str">
        <f t="shared" si="1"/>
        <v>Антонио Аврамски (144)</v>
      </c>
      <c r="E8" s="288" t="str">
        <f t="shared" si="2"/>
        <v>Берово</v>
      </c>
      <c r="F8" s="284">
        <v>15</v>
      </c>
      <c r="G8" s="243">
        <v>21</v>
      </c>
      <c r="H8" s="36">
        <v>203</v>
      </c>
      <c r="I8" s="252" t="str">
        <f>IF(ISERROR(VLOOKUP(H8,Baza!A:C,2,FALSE)&amp;" "&amp;"("&amp;H8&amp;")"),"",(VLOOKUP(H8,Baza!A:C,2,FALSE)&amp;" "&amp;"("&amp;H8&amp;")"))</f>
        <v>Андреј Васевски (203)</v>
      </c>
      <c r="J8" s="252" t="str">
        <f>IF(ISERROR(VLOOKUP(H8,Baza!A:C,3,FALSE)),"",(VLOOKUP(H8,Baza!A:C,3,FALSE)))</f>
        <v>Куманово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15</v>
      </c>
      <c r="O8" s="243">
        <v>320</v>
      </c>
    </row>
    <row r="9" spans="2:17">
      <c r="B9" s="357"/>
      <c r="C9" s="265">
        <v>7</v>
      </c>
      <c r="D9" s="287" t="str">
        <f t="shared" si="1"/>
        <v>Вања Спасиќ (448)</v>
      </c>
      <c r="E9" s="288" t="str">
        <f t="shared" si="2"/>
        <v>Дебар Маало</v>
      </c>
      <c r="F9" s="284">
        <v>3</v>
      </c>
      <c r="G9" s="250">
        <v>18</v>
      </c>
      <c r="H9" s="36">
        <v>404</v>
      </c>
      <c r="I9" s="252" t="str">
        <f>IF(ISERROR(VLOOKUP(H9,Baza!A:C,2,FALSE)&amp;" "&amp;"("&amp;H9&amp;")"),"",(VLOOKUP(H9,Baza!A:C,2,FALSE)&amp;" "&amp;"("&amp;H9&amp;")"))</f>
        <v>Љупчо Треновски (404)</v>
      </c>
      <c r="J9" s="252" t="str">
        <f>IF(ISERROR(VLOOKUP(H9,Baza!A:C,3,FALSE)),"",(VLOOKUP(H9,Baza!A:C,3,FALSE)))</f>
        <v>Берово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3</v>
      </c>
      <c r="O9" s="243">
        <v>279</v>
      </c>
      <c r="Q9" s="324"/>
    </row>
    <row r="10" spans="2:17" ht="16.2" thickBot="1">
      <c r="B10" s="360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>
        <v>14</v>
      </c>
      <c r="H10" s="349">
        <v>47</v>
      </c>
      <c r="I10" s="252" t="str">
        <f>IF(ISERROR(VLOOKUP(H10,Baza!A:C,2,FALSE)&amp;" "&amp;"("&amp;H10&amp;")"),"",(VLOOKUP(H10,Baza!A:C,2,FALSE)&amp;" "&amp;"("&amp;H10&amp;")"))</f>
        <v>Андреј Стојановски (47)</v>
      </c>
      <c r="J10" s="252" t="str">
        <f>IF(ISERROR(VLOOKUP(H10,Baza!A:C,3,FALSE)),"",(VLOOKUP(H10,Baza!A:C,3,FALSE)))</f>
        <v>10 60 АС Ѓорче Петров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11</v>
      </c>
      <c r="O10" s="243">
        <v>220</v>
      </c>
      <c r="Q10" s="324"/>
    </row>
    <row r="11" spans="2:17">
      <c r="B11" s="356" t="s">
        <v>64</v>
      </c>
      <c r="C11" s="267">
        <v>9</v>
      </c>
      <c r="D11" s="293" t="str">
        <f t="shared" si="1"/>
        <v>Александар Јакимовски (178)</v>
      </c>
      <c r="E11" s="294" t="str">
        <f t="shared" si="2"/>
        <v>Крива Паланка</v>
      </c>
      <c r="F11" s="284">
        <v>18</v>
      </c>
      <c r="G11" s="243">
        <v>22</v>
      </c>
      <c r="H11" s="36">
        <v>499</v>
      </c>
      <c r="I11" s="252" t="str">
        <f>IF(ISERROR(VLOOKUP(H11,Baza!A:C,2,FALSE)&amp;" "&amp;"("&amp;H11&amp;")"),"",(VLOOKUP(H11,Baza!A:C,2,FALSE)&amp;" "&amp;"("&amp;H11&amp;")"))</f>
        <v>Дарко Китановски (499)</v>
      </c>
      <c r="J11" s="252" t="str">
        <f>IF(ISERROR(VLOOKUP(H11,Baza!A:C,3,FALSE)),"",(VLOOKUP(H11,Baza!A:C,3,FALSE)))</f>
        <v>Пелагонија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18</v>
      </c>
      <c r="O11" s="243">
        <v>186</v>
      </c>
      <c r="Q11" s="324"/>
    </row>
    <row r="12" spans="2:17">
      <c r="B12" s="357"/>
      <c r="C12" s="265">
        <v>10</v>
      </c>
      <c r="D12" s="287" t="str">
        <f t="shared" si="1"/>
        <v>Кристијан Каламадевски (347)</v>
      </c>
      <c r="E12" s="288" t="str">
        <f t="shared" si="2"/>
        <v>Берово</v>
      </c>
      <c r="F12" s="284">
        <v>30</v>
      </c>
      <c r="G12" s="250">
        <v>6</v>
      </c>
      <c r="H12" s="36">
        <v>144</v>
      </c>
      <c r="I12" s="252" t="str">
        <f>IF(ISERROR(VLOOKUP(H12,Baza!A:C,2,FALSE)&amp;" "&amp;"("&amp;H12&amp;")"),"",(VLOOKUP(H12,Baza!A:C,2,FALSE)&amp;" "&amp;"("&amp;H12&amp;")"))</f>
        <v>Антонио Аврамски (144)</v>
      </c>
      <c r="J12" s="252" t="str">
        <f>IF(ISERROR(VLOOKUP(H12,Baza!A:C,3,FALSE)),"",(VLOOKUP(H12,Baza!A:C,3,FALSE)))</f>
        <v>Берово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30</v>
      </c>
      <c r="O12" s="243">
        <v>165</v>
      </c>
      <c r="Q12" s="324"/>
    </row>
    <row r="13" spans="2:17">
      <c r="B13" s="357"/>
      <c r="C13" s="265">
        <v>11</v>
      </c>
      <c r="D13" s="287" t="str">
        <f t="shared" si="1"/>
        <v>Марко Китановски (500)</v>
      </c>
      <c r="E13" s="288" t="str">
        <f t="shared" si="2"/>
        <v>Пелагонија</v>
      </c>
      <c r="F13" s="284">
        <v>27</v>
      </c>
      <c r="G13" s="243">
        <v>10</v>
      </c>
      <c r="H13" s="36">
        <v>347</v>
      </c>
      <c r="I13" s="252" t="str">
        <f>IF(ISERROR(VLOOKUP(H13,Baza!A:C,2,FALSE)&amp;" "&amp;"("&amp;H13&amp;")"),"",(VLOOKUP(H13,Baza!A:C,2,FALSE)&amp;" "&amp;"("&amp;H13&amp;")"))</f>
        <v>Кристијан Каламадевски (347)</v>
      </c>
      <c r="J13" s="252" t="str">
        <f>IF(ISERROR(VLOOKUP(H13,Baza!A:C,3,FALSE)),"",(VLOOKUP(H13,Baza!A:C,3,FALSE)))</f>
        <v>Берово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27</v>
      </c>
      <c r="O13" s="243">
        <v>165</v>
      </c>
      <c r="Q13" s="324"/>
    </row>
    <row r="14" spans="2:17" ht="16.2" thickBot="1">
      <c r="B14" s="358"/>
      <c r="C14" s="268">
        <v>12</v>
      </c>
      <c r="D14" s="291" t="str">
        <f t="shared" si="1"/>
        <v/>
      </c>
      <c r="E14" s="292" t="str">
        <f t="shared" si="2"/>
        <v/>
      </c>
      <c r="F14" s="284">
        <v>20</v>
      </c>
      <c r="G14" s="243">
        <v>2</v>
      </c>
      <c r="H14" s="36">
        <v>287</v>
      </c>
      <c r="I14" s="252" t="str">
        <f>IF(ISERROR(VLOOKUP(H14,Baza!A:C,2,FALSE)&amp;" "&amp;"("&amp;H14&amp;")"),"",(VLOOKUP(H14,Baza!A:C,2,FALSE)&amp;" "&amp;"("&amp;H14&amp;")"))</f>
        <v>Давид Јоноски (287)</v>
      </c>
      <c r="J14" s="252" t="str">
        <f>IF(ISERROR(VLOOKUP(H14,Baza!A:C,3,FALSE)),"",(VLOOKUP(H14,Baza!A:C,3,FALSE)))</f>
        <v>Младост 96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20</v>
      </c>
      <c r="O14" s="243">
        <v>34</v>
      </c>
      <c r="Q14" s="324"/>
    </row>
    <row r="15" spans="2:17">
      <c r="B15" s="359" t="s">
        <v>65</v>
      </c>
      <c r="C15" s="264">
        <v>13</v>
      </c>
      <c r="D15" s="285" t="str">
        <f t="shared" si="1"/>
        <v>Борис Секулов (130)</v>
      </c>
      <c r="E15" s="286" t="str">
        <f t="shared" si="2"/>
        <v>Астраион</v>
      </c>
      <c r="F15" s="284">
        <v>17</v>
      </c>
      <c r="G15" s="243">
        <v>11</v>
      </c>
      <c r="H15" s="36">
        <v>500</v>
      </c>
      <c r="I15" s="252" t="str">
        <f>IF(ISERROR(VLOOKUP(H15,Baza!A:C,2,FALSE)&amp;" "&amp;"("&amp;H15&amp;")"),"",(VLOOKUP(H15,Baza!A:C,2,FALSE)&amp;" "&amp;"("&amp;H15&amp;")"))</f>
        <v>Марко Китановски (500)</v>
      </c>
      <c r="J15" s="252" t="str">
        <f>IF(ISERROR(VLOOKUP(H15,Baza!A:C,3,FALSE)),"",(VLOOKUP(H15,Baza!A:C,3,FALSE)))</f>
        <v>Пелагонија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17</v>
      </c>
      <c r="O15" s="243">
        <v>24</v>
      </c>
      <c r="Q15" s="324"/>
    </row>
    <row r="16" spans="2:17">
      <c r="B16" s="357"/>
      <c r="C16" s="265">
        <v>14</v>
      </c>
      <c r="D16" s="287" t="str">
        <f t="shared" si="1"/>
        <v>Андреј Стојановски (47)</v>
      </c>
      <c r="E16" s="288" t="str">
        <f t="shared" si="2"/>
        <v>10 60 АС Ѓорче Петров</v>
      </c>
      <c r="F16" s="284">
        <v>7</v>
      </c>
      <c r="G16" s="243">
        <v>7</v>
      </c>
      <c r="H16" s="36">
        <v>448</v>
      </c>
      <c r="I16" s="252" t="str">
        <f>IF(ISERROR(VLOOKUP(H16,Baza!A:C,2,FALSE)&amp;" "&amp;"("&amp;H16&amp;")"),"",(VLOOKUP(H16,Baza!A:C,2,FALSE)&amp;" "&amp;"("&amp;H16&amp;")"))</f>
        <v>Вања Спасиќ (448)</v>
      </c>
      <c r="J16" s="252" t="str">
        <f>IF(ISERROR(VLOOKUP(H16,Baza!A:C,3,FALSE)),"",(VLOOKUP(H16,Baza!A:C,3,FALSE)))</f>
        <v>Дебар Маало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7</v>
      </c>
      <c r="O16" s="243">
        <v>13</v>
      </c>
      <c r="Q16" s="324"/>
    </row>
    <row r="17" spans="2:17">
      <c r="B17" s="357"/>
      <c r="C17" s="265">
        <v>15</v>
      </c>
      <c r="D17" s="287" t="str">
        <f t="shared" si="1"/>
        <v>Дамјан Петровиќ (536)</v>
      </c>
      <c r="E17" s="288" t="str">
        <f t="shared" si="2"/>
        <v>Дебар Маало</v>
      </c>
      <c r="F17" s="284">
        <v>23</v>
      </c>
      <c r="G17" s="243">
        <v>3</v>
      </c>
      <c r="H17" s="36">
        <v>129</v>
      </c>
      <c r="I17" s="252" t="str">
        <f>IF(ISERROR(VLOOKUP(H17,Baza!A:C,2,FALSE)&amp;" "&amp;"("&amp;H17&amp;")"),"",(VLOOKUP(H17,Baza!A:C,2,FALSE)&amp;" "&amp;"("&amp;H17&amp;")"))</f>
        <v>Ненад Тиловски (129)</v>
      </c>
      <c r="J17" s="252" t="str">
        <f>IF(ISERROR(VLOOKUP(H17,Baza!A:C,3,FALSE)),"",(VLOOKUP(H17,Baza!A:C,3,FALSE)))</f>
        <v>Телеком НЕЦ 2</v>
      </c>
      <c r="K17" s="312">
        <f>IF(ISERROR(VLOOKUP(H17,Baza!A:D,4,FALSE)),"",(VLOOKUP(H17,Baza!A:D,4,FALSE)))</f>
        <v>0</v>
      </c>
      <c r="M17" s="239" t="e">
        <f t="shared" si="0"/>
        <v>#N/A</v>
      </c>
      <c r="N17" s="239">
        <v>23</v>
      </c>
      <c r="O17" s="243">
        <v>11</v>
      </c>
      <c r="Q17" s="324"/>
    </row>
    <row r="18" spans="2:17" ht="16.2" thickBot="1">
      <c r="B18" s="360"/>
      <c r="C18" s="266">
        <v>16</v>
      </c>
      <c r="D18" s="289" t="str">
        <f t="shared" si="1"/>
        <v>Јаков Кузмановски (443)</v>
      </c>
      <c r="E18" s="290" t="str">
        <f t="shared" si="2"/>
        <v>Куманово</v>
      </c>
      <c r="F18" s="284">
        <v>10</v>
      </c>
      <c r="G18" s="243">
        <v>23</v>
      </c>
      <c r="H18" s="36">
        <v>570</v>
      </c>
      <c r="I18" s="252" t="str">
        <f>IF(ISERROR(VLOOKUP(H18,Baza!A:C,2,FALSE)&amp;" "&amp;"("&amp;H18&amp;")"),"",(VLOOKUP(H18,Baza!A:C,2,FALSE)&amp;" "&amp;"("&amp;H18&amp;")"))</f>
        <v>Марио Мирчовски (570)</v>
      </c>
      <c r="J18" s="252" t="str">
        <f>IF(ISERROR(VLOOKUP(H18,Baza!A:C,3,FALSE)),"",(VLOOKUP(H18,Baza!A:C,3,FALSE)))</f>
        <v>Берово</v>
      </c>
      <c r="K18" s="312">
        <f>IF(ISERROR(VLOOKUP(H18,Baza!A:D,4,FALSE)),"",(VLOOKUP(H18,Baza!A:D,4,FALSE)))</f>
        <v>0</v>
      </c>
      <c r="M18" s="239" t="e">
        <f t="shared" si="0"/>
        <v>#N/A</v>
      </c>
      <c r="N18" s="239">
        <v>10</v>
      </c>
      <c r="O18" s="243">
        <v>11</v>
      </c>
      <c r="Q18" s="324"/>
    </row>
    <row r="19" spans="2:17">
      <c r="B19" s="356" t="s">
        <v>66</v>
      </c>
      <c r="C19" s="273">
        <v>17</v>
      </c>
      <c r="D19" s="293" t="str">
        <f t="shared" si="1"/>
        <v>Филип Ангела (299)</v>
      </c>
      <c r="E19" s="294" t="str">
        <f t="shared" si="2"/>
        <v>Пелагонија</v>
      </c>
      <c r="F19" s="284">
        <v>24</v>
      </c>
      <c r="G19" s="243">
        <v>19</v>
      </c>
      <c r="H19" s="36">
        <v>361</v>
      </c>
      <c r="I19" s="252" t="str">
        <f>IF(ISERROR(VLOOKUP(H19,Baza!A:C,2,FALSE)&amp;" "&amp;"("&amp;H19&amp;")"),"",(VLOOKUP(H19,Baza!A:C,2,FALSE)&amp;" "&amp;"("&amp;H19&amp;")"))</f>
        <v>Петар Јуришиќ (361)</v>
      </c>
      <c r="J19" s="252" t="str">
        <f>IF(ISERROR(VLOOKUP(H19,Baza!A:C,3,FALSE)),"",(VLOOKUP(H19,Baza!A:C,3,FALSE)))</f>
        <v>Дебар Маало</v>
      </c>
      <c r="K19" s="312">
        <f>IF(ISERROR(VLOOKUP(H19,Baza!A:D,4,FALSE)),"",(VLOOKUP(H19,Baza!A:D,4,FALSE)))</f>
        <v>0</v>
      </c>
      <c r="M19" s="239" t="e">
        <f t="shared" si="0"/>
        <v>#N/A</v>
      </c>
      <c r="N19" s="239">
        <v>24</v>
      </c>
      <c r="O19" s="243">
        <v>10</v>
      </c>
      <c r="Q19" s="324"/>
    </row>
    <row r="20" spans="2:17">
      <c r="B20" s="357"/>
      <c r="C20" s="270">
        <v>18</v>
      </c>
      <c r="D20" s="287" t="str">
        <f t="shared" si="1"/>
        <v>Љупчо Треновски (404)</v>
      </c>
      <c r="E20" s="288" t="str">
        <f t="shared" si="2"/>
        <v>Берово</v>
      </c>
      <c r="F20" s="284">
        <v>2</v>
      </c>
      <c r="G20" s="243">
        <v>15</v>
      </c>
      <c r="H20" s="36">
        <v>536</v>
      </c>
      <c r="I20" s="252" t="str">
        <f>IF(ISERROR(VLOOKUP(H20,Baza!A:C,2,FALSE)&amp;" "&amp;"("&amp;H20&amp;")"),"",(VLOOKUP(H20,Baza!A:C,2,FALSE)&amp;" "&amp;"("&amp;H20&amp;")"))</f>
        <v>Дамјан Петровиќ (536)</v>
      </c>
      <c r="J20" s="252" t="str">
        <f>IF(ISERROR(VLOOKUP(H20,Baza!A:C,3,FALSE)),"",(VLOOKUP(H20,Baza!A:C,3,FALSE)))</f>
        <v>Дебар Маало</v>
      </c>
      <c r="K20" s="312">
        <f>IF(ISERROR(VLOOKUP(H20,Baza!A:D,4,FALSE)),"",(VLOOKUP(H20,Baza!A:D,4,FALSE)))</f>
        <v>0</v>
      </c>
      <c r="M20" s="239" t="e">
        <f t="shared" si="0"/>
        <v>#N/A</v>
      </c>
      <c r="N20" s="239">
        <v>2</v>
      </c>
      <c r="O20" s="243">
        <v>10</v>
      </c>
    </row>
    <row r="21" spans="2:17">
      <c r="B21" s="357"/>
      <c r="C21" s="270">
        <v>19</v>
      </c>
      <c r="D21" s="287" t="str">
        <f t="shared" si="1"/>
        <v>Петар Јуришиќ (361)</v>
      </c>
      <c r="E21" s="288" t="str">
        <f t="shared" si="2"/>
        <v>Дебар Маало</v>
      </c>
      <c r="F21" s="284">
        <v>12</v>
      </c>
      <c r="G21" s="243">
        <v>20</v>
      </c>
      <c r="H21" s="36">
        <v>538</v>
      </c>
      <c r="I21" s="252" t="str">
        <f>IF(ISERROR(VLOOKUP(H21,Baza!A:C,2,FALSE)&amp;" "&amp;"("&amp;H21&amp;")"),"",(VLOOKUP(H21,Baza!A:C,2,FALSE)&amp;" "&amp;"("&amp;H21&amp;")"))</f>
        <v>Јаков Јакимовски (538)</v>
      </c>
      <c r="J21" s="252" t="str">
        <f>IF(ISERROR(VLOOKUP(H21,Baza!A:C,3,FALSE)),"",(VLOOKUP(H21,Baza!A:C,3,FALSE)))</f>
        <v>Куманово</v>
      </c>
      <c r="K21" s="312">
        <f>IF(ISERROR(VLOOKUP(H21,Baza!A:D,4,FALSE)),"",(VLOOKUP(H21,Baza!A:D,4,FALSE)))</f>
        <v>0</v>
      </c>
      <c r="M21" s="239" t="e">
        <f t="shared" si="0"/>
        <v>#N/A</v>
      </c>
      <c r="N21" s="239">
        <v>12</v>
      </c>
      <c r="O21" s="243">
        <v>8</v>
      </c>
    </row>
    <row r="22" spans="2:17" ht="16.2" thickBot="1">
      <c r="B22" s="358"/>
      <c r="C22" s="271">
        <v>20</v>
      </c>
      <c r="D22" s="291" t="str">
        <f t="shared" si="1"/>
        <v>Јаков Јакимовски (538)</v>
      </c>
      <c r="E22" s="292" t="str">
        <f t="shared" si="2"/>
        <v>Куманово</v>
      </c>
      <c r="F22" s="284">
        <v>14</v>
      </c>
      <c r="G22" s="243">
        <v>16</v>
      </c>
      <c r="H22" s="36">
        <v>443</v>
      </c>
      <c r="I22" s="252" t="str">
        <f>IF(ISERROR(VLOOKUP(H22,Baza!A:C,2,FALSE)&amp;" "&amp;"("&amp;H22&amp;")"),"",(VLOOKUP(H22,Baza!A:C,2,FALSE)&amp;" "&amp;"("&amp;H22&amp;")"))</f>
        <v>Јаков Кузмановски (443)</v>
      </c>
      <c r="J22" s="252" t="str">
        <f>IF(ISERROR(VLOOKUP(H22,Baza!A:C,3,FALSE)),"",(VLOOKUP(H22,Baza!A:C,3,FALSE)))</f>
        <v>Куманово</v>
      </c>
      <c r="K22" s="312">
        <f>IF(ISERROR(VLOOKUP(H22,Baza!A:D,4,FALSE)),"",(VLOOKUP(H22,Baza!A:D,4,FALSE)))</f>
        <v>0</v>
      </c>
      <c r="M22" s="239" t="e">
        <f t="shared" si="0"/>
        <v>#N/A</v>
      </c>
      <c r="N22" s="239">
        <v>14</v>
      </c>
      <c r="O22" s="243">
        <v>8</v>
      </c>
    </row>
    <row r="23" spans="2:17">
      <c r="B23" s="359" t="s">
        <v>67</v>
      </c>
      <c r="C23" s="269">
        <v>21</v>
      </c>
      <c r="D23" s="285" t="str">
        <f t="shared" si="1"/>
        <v>Андреј Васевски (203)</v>
      </c>
      <c r="E23" s="286" t="str">
        <f t="shared" si="2"/>
        <v>Куманово</v>
      </c>
      <c r="F23" s="284">
        <v>6</v>
      </c>
      <c r="G23" s="243">
        <v>24</v>
      </c>
      <c r="H23" s="36">
        <v>659</v>
      </c>
      <c r="I23" s="252" t="str">
        <f>IF(ISERROR(VLOOKUP(H23,Baza!A:C,2,FALSE)&amp;" "&amp;"("&amp;H23&amp;")"),"",(VLOOKUP(H23,Baza!A:C,2,FALSE)&amp;" "&amp;"("&amp;H23&amp;")"))</f>
        <v>Јаков Смолиќ (659)</v>
      </c>
      <c r="J23" s="252" t="str">
        <f>IF(ISERROR(VLOOKUP(H23,Baza!A:C,3,FALSE)),"",(VLOOKUP(H23,Baza!A:C,3,FALSE)))</f>
        <v>Рисови</v>
      </c>
      <c r="K23" s="312">
        <f>IF(ISERROR(VLOOKUP(H23,Baza!A:D,4,FALSE)),"",(VLOOKUP(H23,Baza!A:D,4,FALSE)))</f>
        <v>0</v>
      </c>
      <c r="M23" s="239" t="e">
        <f t="shared" si="0"/>
        <v>#N/A</v>
      </c>
      <c r="N23" s="239">
        <v>6</v>
      </c>
      <c r="O23" s="243">
        <v>0</v>
      </c>
    </row>
    <row r="24" spans="2:17">
      <c r="B24" s="357"/>
      <c r="C24" s="270">
        <v>22</v>
      </c>
      <c r="D24" s="287" t="str">
        <f t="shared" si="1"/>
        <v>Дарко Китановски (499)</v>
      </c>
      <c r="E24" s="288" t="str">
        <f t="shared" si="2"/>
        <v>Пелагонија</v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7"/>
      <c r="C25" s="270">
        <v>23</v>
      </c>
      <c r="D25" s="287" t="str">
        <f t="shared" si="1"/>
        <v>Марио Мирчовски (570)</v>
      </c>
      <c r="E25" s="288" t="str">
        <f t="shared" si="2"/>
        <v>Берово</v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60"/>
      <c r="C26" s="272">
        <v>24</v>
      </c>
      <c r="D26" s="289" t="str">
        <f t="shared" si="1"/>
        <v>Јаков Смолиќ (659)</v>
      </c>
      <c r="E26" s="290" t="str">
        <f t="shared" si="2"/>
        <v>Рисови</v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6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7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7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7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7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60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6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7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7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7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7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60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6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7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7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7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7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str">
        <f t="shared" si="3"/>
        <v>10 60 АС Ѓорче Петров</v>
      </c>
      <c r="N49" s="239">
        <v>47</v>
      </c>
      <c r="O49" s="243"/>
    </row>
    <row r="50" spans="2:15" ht="16.2" thickBot="1">
      <c r="B50" s="360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6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7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7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7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7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60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6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7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7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7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7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60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7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7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60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7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7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60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7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7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60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7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7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60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7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7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60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7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7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60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7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7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60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7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7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60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K19" sqref="K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Андреј Васевски (203)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IF(GROUPS!F9="","",GROUPS!F9)</f>
        <v>Андреј Васевски (203)</v>
      </c>
      <c r="D3" s="381"/>
      <c r="E3" s="382"/>
      <c r="F3" s="102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117</v>
      </c>
      <c r="Q3" s="111">
        <f>IF(AND(T9="",T13="",T17=""),"",AP3)</f>
        <v>46</v>
      </c>
      <c r="R3" s="383">
        <f>IF(ISERROR(IF(AND(T9="",T13="",T17=""),"",SUM(AB3:AD3)+(N3-O3)/1000)+(AK3/10000)),"",IF(AND(T9="",T13="",T17=""),"",SUM(AB3:AD3)+(N3-O3)/1000)+(AK3/10000)+(AG3/100000))</f>
        <v>6.0152700000000001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Дарко Китановски (499)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117</v>
      </c>
      <c r="AH3" s="10">
        <f>F9+H9+J9+L9+N9+P9+R9</f>
        <v>33</v>
      </c>
      <c r="AI3" s="10">
        <f>F13+H13+J13+L13+N13+P13+R13</f>
        <v>51</v>
      </c>
      <c r="AJ3" s="10">
        <f>F17+H17+J17+L17+N17+P17+R17</f>
        <v>33</v>
      </c>
      <c r="AK3" s="384">
        <f>SUM(AH3:AJ3)-SUM(AM3:AO3)</f>
        <v>71</v>
      </c>
      <c r="AL3" s="385"/>
      <c r="AM3" s="10">
        <f>AH5</f>
        <v>4</v>
      </c>
      <c r="AN3" s="10">
        <f>AI4</f>
        <v>39</v>
      </c>
      <c r="AO3" s="10">
        <f>AJ6</f>
        <v>3</v>
      </c>
      <c r="AP3" s="9">
        <f>SUM(AM3:AO3)</f>
        <v>46</v>
      </c>
    </row>
    <row r="4" spans="2:47" ht="24" customHeight="1">
      <c r="B4" s="101">
        <v>2</v>
      </c>
      <c r="C4" s="380" t="str">
        <f>IF(GROUPS!F10="","",GROUPS!F10)</f>
        <v>Дарко Китановски (499)</v>
      </c>
      <c r="D4" s="381"/>
      <c r="E4" s="382"/>
      <c r="F4" s="113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105</v>
      </c>
      <c r="Q4" s="111">
        <f>IF(AND(T10="",U13="",U18=""),"",AP4)</f>
        <v>72</v>
      </c>
      <c r="R4" s="383">
        <f>IF(ISERROR(IF(AND(T10="",U13="",U18=""),"",SUM(AB4:AD4)+(N4-O4)/1000)+(AK4/10000)+(AG4/100000)),"",IF(AND(T10="",U13="",U18=""),"",SUM(AB4:AD4)+(N4-O4)/1000)+(AK4/10000)+(AG4/100000))</f>
        <v>5.0093500000000004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Марио Мирчовски (570)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105</v>
      </c>
      <c r="AH4" s="10">
        <f>F10+H10+J10+L10+N10+P10+R10</f>
        <v>33</v>
      </c>
      <c r="AI4" s="10">
        <f>G13+I13+K13+M13+O13+Q13+S13</f>
        <v>39</v>
      </c>
      <c r="AJ4" s="10">
        <f>G18+I18+K18+M18+O18+Q18+S18</f>
        <v>33</v>
      </c>
      <c r="AK4" s="384">
        <f t="shared" ref="AK4:AK6" si="2">SUM(AH4:AJ4)-SUM(AM4:AO4)</f>
        <v>33</v>
      </c>
      <c r="AL4" s="385"/>
      <c r="AM4" s="10">
        <f>AH6</f>
        <v>3</v>
      </c>
      <c r="AN4" s="10">
        <f>AI3</f>
        <v>51</v>
      </c>
      <c r="AO4" s="10">
        <f>AJ5</f>
        <v>18</v>
      </c>
      <c r="AP4" s="9">
        <f t="shared" ref="AP4:AP6" si="3">SUM(AM4:AO4)</f>
        <v>72</v>
      </c>
    </row>
    <row r="5" spans="2:47" ht="24" customHeight="1">
      <c r="B5" s="101">
        <v>3</v>
      </c>
      <c r="C5" s="380" t="str">
        <f>IF(GROUPS!F11="","",GROUPS!F11)</f>
        <v>Марио Мирчовски (570)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55</v>
      </c>
      <c r="Q5" s="111">
        <f>IF(AND(U9="",T14="",T18=""),"",AP5)</f>
        <v>69</v>
      </c>
      <c r="R5" s="383">
        <f>IF(ISERROR(IF(AND(U9="",T14="",T18=""),"",SUM(AB5:AD5)+(N5-O5)/1000)+(AK5/10000)+(AG5/100000)),"",IF(AND(U9="",T14="",T18=""),"",SUM(AB5:AD5)+(N5-O5)/1000)+(AK5/10000)+(AG5/100000))</f>
        <v>3.9961500000000001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>Јаков Смолиќ (659)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55</v>
      </c>
      <c r="AH5" s="10">
        <f>G9+I9+K9+M9+O9+Q9+S9</f>
        <v>4</v>
      </c>
      <c r="AI5" s="10">
        <f>F14+H14+J14+L14+N14+P14+R14</f>
        <v>33</v>
      </c>
      <c r="AJ5" s="10">
        <f>F18+H18+J18+L18+N18+P18+R18</f>
        <v>18</v>
      </c>
      <c r="AK5" s="384">
        <f t="shared" si="2"/>
        <v>-14</v>
      </c>
      <c r="AL5" s="385"/>
      <c r="AM5" s="10">
        <f>AH3</f>
        <v>33</v>
      </c>
      <c r="AN5" s="10">
        <f>AI6</f>
        <v>3</v>
      </c>
      <c r="AO5" s="10">
        <f>AJ4</f>
        <v>33</v>
      </c>
      <c r="AP5" s="9">
        <f t="shared" si="3"/>
        <v>69</v>
      </c>
    </row>
    <row r="6" spans="2:47" ht="24" customHeight="1" thickBot="1">
      <c r="B6" s="116">
        <v>4</v>
      </c>
      <c r="C6" s="389" t="str">
        <f>IF(GROUPS!F12="","",GROUPS!F12)</f>
        <v>Јаков Смолиќ (659)</v>
      </c>
      <c r="D6" s="390"/>
      <c r="E6" s="391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9</v>
      </c>
      <c r="Q6" s="125">
        <f>IF(AND(U10="",U14="",U17=""),"",AP6)</f>
        <v>99</v>
      </c>
      <c r="R6" s="392">
        <f>IF(ISERROR(IF(AND(U10="",U14="",U17=""),"",SUM(AB6:AD6)+(N6-O6)/1000)+(AK6/10000)+(AG6/100000)),"",IF(AND(U10="",U14="",U17=""),"",SUM(AB6:AD6)+(N6-O6)/1000)+(AK6/10000)+(AG6/100000))</f>
        <v>2.9820900000000004</v>
      </c>
      <c r="S6" s="39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9</v>
      </c>
      <c r="AH6" s="10">
        <f>G10+I10+K10+M10+O10+Q10+S10</f>
        <v>3</v>
      </c>
      <c r="AI6" s="10">
        <f>G14+I14+K14+M14+O14+Q14+S14</f>
        <v>3</v>
      </c>
      <c r="AJ6" s="10">
        <f>G17+I17+K17+M17+O17+Q17+S17</f>
        <v>3</v>
      </c>
      <c r="AK6" s="384">
        <f t="shared" si="2"/>
        <v>-90</v>
      </c>
      <c r="AL6" s="385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286</v>
      </c>
      <c r="Q7" s="127">
        <f>SUM(Q3:Q6)</f>
        <v>286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Андреј Васевски (203)</v>
      </c>
      <c r="D9" s="130">
        <v>3</v>
      </c>
      <c r="E9" s="131" t="str">
        <f>IF(C5="","",VLOOKUP(D9,$B$3:$E$6,2,FALSE))</f>
        <v>Марио Мирчовски (570)</v>
      </c>
      <c r="F9" s="132">
        <v>11</v>
      </c>
      <c r="G9" s="133">
        <v>1</v>
      </c>
      <c r="H9" s="134">
        <v>11</v>
      </c>
      <c r="I9" s="133">
        <v>2</v>
      </c>
      <c r="J9" s="132">
        <v>11</v>
      </c>
      <c r="K9" s="135">
        <v>1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Дарко Китановски (499)</v>
      </c>
      <c r="D10" s="140">
        <v>4</v>
      </c>
      <c r="E10" s="141" t="str">
        <f>IF(C6="","",VLOOKUP(D10,$B$3:$E$6,2,FALSE))</f>
        <v>Јаков Смолиќ (659)</v>
      </c>
      <c r="F10" s="142">
        <v>11</v>
      </c>
      <c r="G10" s="143">
        <v>1</v>
      </c>
      <c r="H10" s="144">
        <v>11</v>
      </c>
      <c r="I10" s="143">
        <v>1</v>
      </c>
      <c r="J10" s="142">
        <v>11</v>
      </c>
      <c r="K10" s="145">
        <v>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Андреј Васевски (203)</v>
      </c>
      <c r="D13" s="130">
        <v>2</v>
      </c>
      <c r="E13" s="131" t="str">
        <f>IF(C4="","",VLOOKUP(D13,$B$3:$E$6,2,FALSE))</f>
        <v>Дарко Китановски (499)</v>
      </c>
      <c r="F13" s="132">
        <v>9</v>
      </c>
      <c r="G13" s="133">
        <v>11</v>
      </c>
      <c r="H13" s="134">
        <v>11</v>
      </c>
      <c r="I13" s="133">
        <v>6</v>
      </c>
      <c r="J13" s="132">
        <v>9</v>
      </c>
      <c r="K13" s="135">
        <v>11</v>
      </c>
      <c r="L13" s="134">
        <v>11</v>
      </c>
      <c r="M13" s="133">
        <v>3</v>
      </c>
      <c r="N13" s="132">
        <v>11</v>
      </c>
      <c r="O13" s="135">
        <v>8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Марио Мирчовски (570)</v>
      </c>
      <c r="D14" s="140">
        <v>4</v>
      </c>
      <c r="E14" s="141" t="str">
        <f>IF(C6="","",VLOOKUP(D14,$B$3:$E$6,2,FALSE))</f>
        <v>Јаков Смолиќ (659)</v>
      </c>
      <c r="F14" s="142">
        <v>11</v>
      </c>
      <c r="G14" s="143">
        <v>1</v>
      </c>
      <c r="H14" s="144">
        <v>11</v>
      </c>
      <c r="I14" s="143">
        <v>1</v>
      </c>
      <c r="J14" s="142">
        <v>11</v>
      </c>
      <c r="K14" s="145">
        <v>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Андреј Васевски (203)</v>
      </c>
      <c r="D17" s="130">
        <v>4</v>
      </c>
      <c r="E17" s="131" t="str">
        <f>IF(C6="","",VLOOKUP(D17,$B$3:$E$6,2,FALSE))</f>
        <v>Јаков Смолиќ (659)</v>
      </c>
      <c r="F17" s="132">
        <v>11</v>
      </c>
      <c r="G17" s="133">
        <v>1</v>
      </c>
      <c r="H17" s="134">
        <v>11</v>
      </c>
      <c r="I17" s="133">
        <v>1</v>
      </c>
      <c r="J17" s="132">
        <v>11</v>
      </c>
      <c r="K17" s="135">
        <v>1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Марио Мирчовски (570)</v>
      </c>
      <c r="D18" s="140">
        <v>2</v>
      </c>
      <c r="E18" s="141" t="str">
        <f>IF(C4="","",VLOOKUP(D18,$B$3:$E$6,2,FALSE))</f>
        <v>Дарко Китановски (499)</v>
      </c>
      <c r="F18" s="142">
        <v>5</v>
      </c>
      <c r="G18" s="143">
        <v>11</v>
      </c>
      <c r="H18" s="144">
        <v>6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IF(GROUPS!H12="","",GROUPS!H12)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IF(GROUPS!J12="","",GROUPS!J12)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IF(GROUPS!D17="","",GROUPS!D17)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IF(GROUPS!F17="","",GROUPS!F17)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IF(GROUPS!H17="","",GROUPS!H17)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1" t="str">
        <f>IF(GROUPS!J17="","",GROUPS!J17)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IF(GROUPS!D22="","",GROUPS!D22)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IF(GROUPS!F22="","",GROUPS!F22)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IF(GROUPS!H22="","",GROUPS!H22)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F47" sqref="F47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Лука Стојчев (73)</v>
      </c>
      <c r="E4" s="32">
        <f>C4+4</f>
        <v>5</v>
      </c>
      <c r="F4" s="33" t="str">
        <f>IF(VLOOKUP(E4,PARTICIPANTS!$C$3:$D$98,2,FALSE)="","",(VLOOKUP(E4,PARTICIPANTS!$C$3:$D$98,2,FALSE)))</f>
        <v>Нико Доага (190)</v>
      </c>
      <c r="G4" s="32">
        <f>E4+4</f>
        <v>9</v>
      </c>
      <c r="H4" s="33" t="str">
        <f>IF(VLOOKUP(G4,PARTICIPANTS!$C$3:$D$98,2,FALSE)="","",(VLOOKUP(G4,PARTICIPANTS!$C$3:$D$98,2,FALSE)))</f>
        <v>Александар Јакимовски (178)</v>
      </c>
      <c r="I4" s="32">
        <f>G4+4</f>
        <v>13</v>
      </c>
      <c r="J4" s="33" t="str">
        <f>IF(VLOOKUP(I4,PARTICIPANTS!$C$3:$D$98,2,FALSE)="","",(VLOOKUP(I4,PARTICIPANTS!$C$3:$D$98,2,FALSE)))</f>
        <v>Борис Секулов (130)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Давид Јоноски (287)</v>
      </c>
      <c r="E5" s="32">
        <f t="shared" ref="E5:I7" si="0">C5+4</f>
        <v>6</v>
      </c>
      <c r="F5" s="33" t="str">
        <f>IF(VLOOKUP(E5,PARTICIPANTS!$C$3:$D$98,2,FALSE)="","",(VLOOKUP(E5,PARTICIPANTS!$C$3:$D$98,2,FALSE)))</f>
        <v>Антонио Аврамски (144)</v>
      </c>
      <c r="G5" s="32">
        <f t="shared" si="0"/>
        <v>10</v>
      </c>
      <c r="H5" s="33" t="str">
        <f>IF(VLOOKUP(G5,PARTICIPANTS!$C$3:$D$98,2,FALSE)="","",(VLOOKUP(G5,PARTICIPANTS!$C$3:$D$98,2,FALSE)))</f>
        <v>Кристијан Каламадевски (347)</v>
      </c>
      <c r="I5" s="32">
        <f t="shared" si="0"/>
        <v>14</v>
      </c>
      <c r="J5" s="33" t="str">
        <f>IF(VLOOKUP(I5,PARTICIPANTS!$C$3:$D$98,2,FALSE)="","",(VLOOKUP(I5,PARTICIPANTS!$C$3:$D$98,2,FALSE)))</f>
        <v>Андреј Стојановски (47)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Ненад Тиловски (129)</v>
      </c>
      <c r="E6" s="32">
        <f t="shared" si="0"/>
        <v>7</v>
      </c>
      <c r="F6" s="33" t="str">
        <f>IF(VLOOKUP(E6,PARTICIPANTS!$C$3:$D$98,2,FALSE)="","",(VLOOKUP(E6,PARTICIPANTS!$C$3:$D$98,2,FALSE)))</f>
        <v>Вања Спасиќ (448)</v>
      </c>
      <c r="G6" s="32">
        <f t="shared" si="0"/>
        <v>11</v>
      </c>
      <c r="H6" s="33" t="str">
        <f>IF(VLOOKUP(G6,PARTICIPANTS!$C$3:$D$98,2,FALSE)="","",(VLOOKUP(G6,PARTICIPANTS!$C$3:$D$98,2,FALSE)))</f>
        <v>Марко Китановски (500)</v>
      </c>
      <c r="I6" s="32">
        <f t="shared" si="0"/>
        <v>15</v>
      </c>
      <c r="J6" s="33" t="str">
        <f>IF(VLOOKUP(I6,PARTICIPANTS!$C$3:$D$98,2,FALSE)="","",(VLOOKUP(I6,PARTICIPANTS!$C$3:$D$98,2,FALSE)))</f>
        <v>Дамјан Петровиќ (536)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>Јаков Кузмановски (443)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>Филип Ангела (299)</v>
      </c>
      <c r="E9" s="32">
        <f>C9+4</f>
        <v>21</v>
      </c>
      <c r="F9" s="33" t="str">
        <f>IF(VLOOKUP(E9,PARTICIPANTS!$C$3:$D$98,2,FALSE)="","",(VLOOKUP(E9,PARTICIPANTS!$C$3:$D$98,2,FALSE)))</f>
        <v>Андреј Васевски (203)</v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>Љупчо Треновски (404)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Дарко Китановски (499)</v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>Петар Јуришиќ (361)</v>
      </c>
      <c r="E11" s="32">
        <f t="shared" si="1"/>
        <v>23</v>
      </c>
      <c r="F11" s="33" t="str">
        <f>IF(VLOOKUP(E11,PARTICIPANTS!$C$3:$D$98,2,FALSE)="","",(VLOOKUP(E11,PARTICIPANTS!$C$3:$D$98,2,FALSE)))</f>
        <v>Марио Мирчовски (570)</v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>Јаков Јакимовски (538)</v>
      </c>
      <c r="E12" s="32">
        <f t="shared" si="1"/>
        <v>24</v>
      </c>
      <c r="F12" s="33" t="str">
        <f>IF(VLOOKUP(E12,PARTICIPANTS!$C$3:$D$98,2,FALSE)="","",(VLOOKUP(E12,PARTICIPANTS!$C$3:$D$98,2,FALSE)))</f>
        <v>Јаков Смолиќ (659)</v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8" t="str">
        <f>IF(GROUPS!J22="","",GROUPS!J22)</f>
        <v/>
      </c>
      <c r="D6" s="411"/>
      <c r="E6" s="412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D19" sqref="D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4" t="s">
        <v>61</v>
      </c>
      <c r="D1" s="42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Лука Стојчев (73)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Давид Јоноски (287)</v>
      </c>
    </row>
    <row r="5" spans="2:42" ht="15.6">
      <c r="B5" s="218" t="s">
        <v>27</v>
      </c>
      <c r="C5" s="210">
        <v>3</v>
      </c>
      <c r="D5" s="211" t="str">
        <f>IF(' II'!$X$2="","",' II'!$X$2)</f>
        <v>Нико Доага (190)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Вања Спасиќ (448)</v>
      </c>
    </row>
    <row r="7" spans="2:42" ht="15.6">
      <c r="B7" s="212" t="s">
        <v>29</v>
      </c>
      <c r="C7" s="213">
        <v>5</v>
      </c>
      <c r="D7" s="207" t="str">
        <f>IF(' III'!$X$2="","",' III'!$X$2)</f>
        <v>Александар Јакимовски (178)</v>
      </c>
      <c r="E7">
        <v>1</v>
      </c>
      <c r="F7" s="254">
        <v>1</v>
      </c>
      <c r="G7" s="96" t="str">
        <f>IF(F7="","",VLOOKUP(F7,$C$3:$D$8,2,FALSE))</f>
        <v>Лука Стојчев (73)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Кристијан Каламадевски (347)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Лука Стојчев (73)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26" t="str">
        <f>IF(AJ25="","",IF(AJ25&gt;AJ26,AB25,AB26))</f>
        <v/>
      </c>
    </row>
    <row r="16" spans="2:42" ht="15.6">
      <c r="C16" s="35"/>
      <c r="D16" s="2"/>
      <c r="P16" s="76"/>
      <c r="Y16" s="80"/>
      <c r="AM16" s="426" t="str">
        <f>IF(AJ25="","",IF(AJ25&lt;AJ26,AB25,AB26))</f>
        <v/>
      </c>
      <c r="AN16" s="426"/>
      <c r="AO16" s="427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26"/>
      <c r="AN17" s="426"/>
      <c r="AO17" s="427"/>
    </row>
    <row r="18" spans="3:42" ht="15.6">
      <c r="C18" s="35"/>
      <c r="D18" s="2"/>
      <c r="P18" s="76"/>
      <c r="Y18" s="80"/>
      <c r="AJ18" s="8"/>
      <c r="AM18" s="426"/>
      <c r="AO18" s="427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Вања Спасиќ (448)</v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8" t="str">
        <f>IF(AJ25=AJ26,"",IF(OR(AJ34&gt;AJ35,AJ34&lt;AJ35),"",AB35))</f>
        <v/>
      </c>
    </row>
    <row r="20" spans="3:42" ht="16.2" thickBot="1">
      <c r="C20" s="35"/>
      <c r="D20" s="2" t="s">
        <v>851</v>
      </c>
      <c r="E20">
        <v>3</v>
      </c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9" t="s">
        <v>58</v>
      </c>
      <c r="AO20" s="428"/>
    </row>
    <row r="21" spans="3:42" ht="16.2" thickBot="1">
      <c r="C21" s="35"/>
      <c r="D21" s="2"/>
      <c r="Y21" s="80"/>
      <c r="AM21" s="432" t="s">
        <v>59</v>
      </c>
      <c r="AN21" s="430"/>
      <c r="AO21" s="428"/>
    </row>
    <row r="22" spans="3:42" ht="15.6">
      <c r="C22" s="35"/>
      <c r="D22" s="2"/>
      <c r="Y22" s="80"/>
      <c r="AM22" s="433"/>
      <c r="AN22" s="430"/>
      <c r="AO22" s="435" t="s">
        <v>60</v>
      </c>
    </row>
    <row r="23" spans="3:42" ht="16.2" thickBot="1">
      <c r="C23" s="35"/>
      <c r="D23" s="2"/>
      <c r="Y23" s="80"/>
      <c r="AM23" s="434"/>
      <c r="AN23" s="431"/>
      <c r="AO23" s="43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38" t="s">
        <v>81</v>
      </c>
      <c r="AM27" s="439"/>
      <c r="AN27" s="439"/>
      <c r="AO27" s="439"/>
      <c r="AP27" s="44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41" t="str">
        <f>IF(AJ25="","",IF(AJ25&gt;AJ26,AB25,AB26))</f>
        <v/>
      </c>
      <c r="AO28" s="441"/>
      <c r="AP28" s="44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2" t="str">
        <f>IF(AJ25="","",IF(AJ25&lt;AJ26,AB25,AB26))</f>
        <v/>
      </c>
      <c r="AO29" s="442"/>
      <c r="AP29" s="44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3" t="str">
        <f>IF(AJ25=AJ26,"",IF(AJ34=AJ35,AB34,IF(AJ34&gt;AJ35,AB34,AB35)))</f>
        <v/>
      </c>
      <c r="AO30" s="443"/>
      <c r="AP30" s="443"/>
    </row>
    <row r="31" spans="3:42" ht="15.6">
      <c r="C31" s="35"/>
      <c r="D31" s="2" t="s">
        <v>851</v>
      </c>
      <c r="E31">
        <v>4</v>
      </c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3" t="str">
        <f>IF(AJ25=AJ26,"",IF(AJ34=AJ35,AB35,IF(AJ34&lt;AJ35,AB34,AB35)))</f>
        <v/>
      </c>
      <c r="AO31" s="443"/>
      <c r="AP31" s="443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Давид Јоноски (287)</v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44" t="str">
        <f>IF(O7="","",IF(O7&lt;O8,G7,G8))</f>
        <v/>
      </c>
      <c r="AO32" s="444"/>
      <c r="AP32" s="44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4" t="str">
        <f>IF(O19="","",IF(O19&lt;O20,G19,G20))</f>
        <v/>
      </c>
      <c r="AO33" s="444"/>
      <c r="AP33" s="44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4" t="str">
        <f>IF(O31="","",IF(O31&lt;O32,G31,G32))</f>
        <v/>
      </c>
      <c r="AO34" s="444"/>
      <c r="AP34" s="444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5" t="str">
        <f>IF(O43="","",IF(O43&lt;O44,G43,G44))</f>
        <v/>
      </c>
      <c r="AO35" s="445"/>
      <c r="AP35" s="445"/>
    </row>
    <row r="36" spans="3:42">
      <c r="P36" s="76"/>
      <c r="Y36" s="81"/>
      <c r="AL36" s="164"/>
      <c r="AM36" s="165"/>
      <c r="AN36" s="446"/>
      <c r="AO36" s="446"/>
      <c r="AP36" s="446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7"/>
      <c r="AO37" s="437"/>
      <c r="AP37" s="437"/>
    </row>
    <row r="38" spans="3:42">
      <c r="P38" s="82"/>
      <c r="Q38" s="95" t="str">
        <f>G44</f>
        <v>Нико Доага (190)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7"/>
      <c r="AO38" s="437"/>
      <c r="AP38" s="437"/>
    </row>
    <row r="39" spans="3:42">
      <c r="P39" s="76"/>
      <c r="AL39" s="163"/>
      <c r="AM39" s="4"/>
      <c r="AN39" s="437"/>
      <c r="AO39" s="437"/>
      <c r="AP39" s="437"/>
    </row>
    <row r="40" spans="3:42">
      <c r="P40" s="76"/>
      <c r="AL40" s="163"/>
      <c r="AM40" s="4"/>
      <c r="AN40" s="437"/>
      <c r="AO40" s="437"/>
      <c r="AP40" s="437"/>
    </row>
    <row r="41" spans="3:42">
      <c r="O41" s="8"/>
      <c r="P41" s="76"/>
      <c r="AL41" s="163"/>
      <c r="AM41" s="4"/>
      <c r="AN41" s="437"/>
      <c r="AO41" s="437"/>
      <c r="AP41" s="437"/>
    </row>
    <row r="42" spans="3:42">
      <c r="O42" s="8"/>
      <c r="P42" s="76"/>
      <c r="AL42" s="163"/>
      <c r="AM42" s="4"/>
      <c r="AN42" s="437"/>
      <c r="AO42" s="437"/>
      <c r="AP42" s="437"/>
    </row>
    <row r="43" spans="3:42">
      <c r="O43" s="255"/>
      <c r="AL43" s="163"/>
      <c r="AM43" s="4"/>
      <c r="AN43" s="437"/>
      <c r="AO43" s="437"/>
      <c r="AP43" s="437"/>
    </row>
    <row r="44" spans="3:42">
      <c r="E44">
        <v>6</v>
      </c>
      <c r="F44" s="254">
        <v>3</v>
      </c>
      <c r="G44" s="96" t="str">
        <f>IF(F44="","",VLOOKUP(F44,$C$3:$D$8,2,FALSE))</f>
        <v>Нико Доага (190)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7"/>
      <c r="AO50" s="437"/>
      <c r="AP50" s="437"/>
    </row>
    <row r="51" spans="36:42">
      <c r="AM51" s="4"/>
      <c r="AN51" s="437"/>
      <c r="AO51" s="437"/>
      <c r="AP51" s="437"/>
    </row>
    <row r="52" spans="36:42">
      <c r="AM52" s="4"/>
      <c r="AN52" s="437"/>
      <c r="AO52" s="437"/>
      <c r="AP52" s="43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2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Лука Стојчев (73)</v>
      </c>
    </row>
    <row r="4" spans="2:48" ht="16.2" thickBot="1">
      <c r="B4" s="48" t="s">
        <v>55</v>
      </c>
      <c r="C4" s="48">
        <v>2</v>
      </c>
      <c r="D4" s="24" t="str">
        <f>IF(' I'!$X$3="","",' I'!$X$3)</f>
        <v>Давид Јоноски (287)</v>
      </c>
    </row>
    <row r="5" spans="2:48" ht="15.6">
      <c r="B5" s="48" t="s">
        <v>27</v>
      </c>
      <c r="C5" s="48">
        <v>3</v>
      </c>
      <c r="D5" s="27" t="str">
        <f>IF(' II'!$X$2="","",' II'!$X$2)</f>
        <v>Нико Доага (190)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Вања Спасиќ (448)</v>
      </c>
    </row>
    <row r="7" spans="2:48" ht="15.6">
      <c r="B7" s="48" t="s">
        <v>29</v>
      </c>
      <c r="C7" s="48">
        <v>5</v>
      </c>
      <c r="D7" s="23" t="str">
        <f>IF(' III'!$X$2="","",' III'!$X$2)</f>
        <v>Александар Јакимовски (178)</v>
      </c>
      <c r="F7">
        <v>1</v>
      </c>
      <c r="G7" s="314">
        <v>1</v>
      </c>
      <c r="H7" s="151" t="str">
        <f>IF(G7="","",VLOOKUP(G7,$C$3:$D$10,2,FALSE))</f>
        <v>Лука Стојчев (73)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>Кристијан Каламадевски (347)</v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>Андреј Стојановски (47)</v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>Борис Секулов (130)</v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26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26" t="str">
        <f>IF(AK25="","",IF(AK25&lt;AK26,AC25,AC26))</f>
        <v/>
      </c>
      <c r="AO16" s="426"/>
      <c r="AP16" s="427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26"/>
      <c r="AO17" s="426"/>
      <c r="AP17" s="427"/>
    </row>
    <row r="18" spans="2:43" ht="15.6">
      <c r="B18" s="35"/>
      <c r="C18" s="35"/>
      <c r="D18" s="2"/>
      <c r="Q18" s="76"/>
      <c r="Z18" s="80"/>
      <c r="AK18" s="8"/>
      <c r="AN18" s="426"/>
      <c r="AP18" s="427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28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29" t="s">
        <v>58</v>
      </c>
      <c r="AP20" s="428"/>
    </row>
    <row r="21" spans="2:43" ht="16.350000000000001" customHeight="1" thickBot="1">
      <c r="C21" s="448" t="s">
        <v>598</v>
      </c>
      <c r="D21" s="448"/>
      <c r="Z21" s="80"/>
      <c r="AN21" s="432" t="s">
        <v>59</v>
      </c>
      <c r="AO21" s="430"/>
      <c r="AP21" s="428"/>
    </row>
    <row r="22" spans="2:43" ht="15.6" customHeight="1">
      <c r="C22" s="448"/>
      <c r="D22" s="448"/>
      <c r="Z22" s="80"/>
      <c r="AN22" s="433"/>
      <c r="AO22" s="430"/>
      <c r="AP22" s="435" t="s">
        <v>60</v>
      </c>
    </row>
    <row r="23" spans="2:43" ht="16.350000000000001" customHeight="1" thickBot="1">
      <c r="C23" s="448"/>
      <c r="D23" s="448"/>
      <c r="Z23" s="80"/>
      <c r="AN23" s="434"/>
      <c r="AO23" s="431"/>
      <c r="AP23" s="43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38" t="s">
        <v>81</v>
      </c>
      <c r="AN27" s="439"/>
      <c r="AO27" s="439"/>
      <c r="AP27" s="439"/>
      <c r="AQ27" s="44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41" t="str">
        <f>IF(AK25="","",IF(AK25&gt;AK26,AC25,AC26))</f>
        <v/>
      </c>
      <c r="AP28" s="441"/>
      <c r="AQ28" s="44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42" t="str">
        <f>IF(AK25="","",IF(AK25&lt;AK26,AC25,AC26))</f>
        <v/>
      </c>
      <c r="AP29" s="442"/>
      <c r="AQ29" s="44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43" t="str">
        <f>IF(AK25=AK26,"",IF(AK34=AK35,AC34,IF(AK34&gt;AK35,AC34,AC35)))</f>
        <v/>
      </c>
      <c r="AP30" s="443"/>
      <c r="AQ30" s="443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43" t="str">
        <f>IF(AK25=AK26,"",IF(AK34=AK35,AC35,IF(AK34&lt;AK35,AC34,AC35)))</f>
        <v/>
      </c>
      <c r="AP31" s="443"/>
      <c r="AQ31" s="443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44" t="str">
        <f>IF(P7="","",IF(P7&lt;P8,H7,H8))</f>
        <v/>
      </c>
      <c r="AP32" s="444"/>
      <c r="AQ32" s="44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44" t="str">
        <f>IF(P19="","",IF(P19&lt;P20,H19,H20))</f>
        <v/>
      </c>
      <c r="AP33" s="444"/>
      <c r="AQ33" s="44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44" t="str">
        <f>IF(P31="","",IF(P31&lt;P32,H31,H32))</f>
        <v/>
      </c>
      <c r="AP34" s="444"/>
      <c r="AQ34" s="444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44" t="str">
        <f>IF(P43="","",IF(P43&lt;P44,H43,H44))</f>
        <v/>
      </c>
      <c r="AP35" s="444"/>
      <c r="AQ35" s="444"/>
    </row>
    <row r="36" spans="3:43">
      <c r="Q36" s="76"/>
      <c r="Z36" s="81"/>
      <c r="AM36" s="163"/>
      <c r="AN36" s="4"/>
      <c r="AO36" s="437"/>
      <c r="AP36" s="437"/>
      <c r="AQ36" s="437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37"/>
      <c r="AP37" s="437"/>
      <c r="AQ37" s="437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37"/>
      <c r="AP38" s="437"/>
      <c r="AQ38" s="437"/>
    </row>
    <row r="39" spans="3:43">
      <c r="Q39" s="76"/>
      <c r="AM39" s="163"/>
      <c r="AN39" s="4"/>
      <c r="AO39" s="437"/>
      <c r="AP39" s="437"/>
      <c r="AQ39" s="437"/>
    </row>
    <row r="40" spans="3:43">
      <c r="Q40" s="76"/>
      <c r="AM40" s="163"/>
      <c r="AN40" s="4"/>
      <c r="AO40" s="437"/>
      <c r="AP40" s="437"/>
      <c r="AQ40" s="437"/>
    </row>
    <row r="41" spans="3:43">
      <c r="P41" s="8"/>
      <c r="Q41" s="76"/>
      <c r="AM41" s="163"/>
      <c r="AN41" s="4"/>
      <c r="AO41" s="437"/>
      <c r="AP41" s="437"/>
      <c r="AQ41" s="437"/>
    </row>
    <row r="42" spans="3:43">
      <c r="P42" s="8"/>
      <c r="Q42" s="76"/>
      <c r="AM42" s="163"/>
      <c r="AN42" s="4"/>
      <c r="AO42" s="437"/>
      <c r="AP42" s="437"/>
      <c r="AQ42" s="437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37"/>
      <c r="AP43" s="437"/>
      <c r="AQ43" s="437"/>
    </row>
    <row r="44" spans="3:43">
      <c r="F44">
        <v>8</v>
      </c>
      <c r="G44" s="314">
        <v>3</v>
      </c>
      <c r="H44" s="151" t="str">
        <f>IF(G44="","",VLOOKUP(G44,$C$3:$D$10,2,FALSE))</f>
        <v>Нико Доага (190)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37"/>
      <c r="AP50" s="437"/>
      <c r="AQ50" s="437"/>
    </row>
    <row r="51" spans="37:43">
      <c r="AN51" s="4"/>
      <c r="AO51" s="437"/>
      <c r="AP51" s="437"/>
      <c r="AQ51" s="437"/>
    </row>
    <row r="52" spans="37:43">
      <c r="AN52" s="4"/>
      <c r="AO52" s="437"/>
      <c r="AP52" s="437"/>
      <c r="AQ52" s="437"/>
    </row>
  </sheetData>
  <mergeCells count="29">
    <mergeCell ref="AO51:AQ51"/>
    <mergeCell ref="AO52:AQ52"/>
    <mergeCell ref="AO39:AQ39"/>
    <mergeCell ref="AO40:AQ40"/>
    <mergeCell ref="AO41:AQ41"/>
    <mergeCell ref="AO42:AQ42"/>
    <mergeCell ref="AO43:AQ43"/>
    <mergeCell ref="AO50:AQ50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abSelected="1" topLeftCell="AD10" workbookViewId="0">
      <selection activeCell="AQ27" sqref="AQ27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4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Лука Стојчев (73)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Давид Јоноски (287)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Нико Доага (190)</v>
      </c>
      <c r="F5" s="155">
        <v>1</v>
      </c>
      <c r="G5" s="156" t="str">
        <f>IF(F5="","",VLOOKUP(F5,$C$3:$D$18,2,FALSE))</f>
        <v>Лука Стојчев (73)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Вања Спасиќ (448)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Александар Јакимовски (178)</v>
      </c>
      <c r="F7" s="153"/>
      <c r="P7" s="76"/>
      <c r="Q7" s="96" t="str">
        <f>G5</f>
        <v>Лука Стојчев (73)</v>
      </c>
      <c r="R7" s="75">
        <v>11</v>
      </c>
      <c r="S7" s="75">
        <v>11</v>
      </c>
      <c r="T7" s="75">
        <v>11</v>
      </c>
      <c r="U7" s="75"/>
      <c r="V7" s="75"/>
      <c r="W7" s="75"/>
      <c r="X7" s="75"/>
      <c r="Y7" s="17">
        <f>IF(R7="","",SUMPRODUCT(--(R7:X7&gt;R8:X8)))</f>
        <v>3</v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Кристијан Каламадевски (347)</v>
      </c>
      <c r="F8" s="153"/>
      <c r="P8" s="82"/>
      <c r="Q8" s="96" t="str">
        <f>IF(O10="","",IF(O10&gt;O11,G10,G11))</f>
        <v>Борис Секулов (130)</v>
      </c>
      <c r="R8" s="75">
        <v>4</v>
      </c>
      <c r="S8" s="75">
        <v>4</v>
      </c>
      <c r="T8" s="75">
        <v>7</v>
      </c>
      <c r="U8" s="75"/>
      <c r="V8" s="75"/>
      <c r="W8" s="75"/>
      <c r="X8" s="75"/>
      <c r="Y8" s="17">
        <f>IF(R7="","",SUMPRODUCT(--(R7:X7&lt;R8:X8)))</f>
        <v>0</v>
      </c>
    </row>
    <row r="9" spans="2:52" ht="15.6">
      <c r="B9" s="218" t="s">
        <v>30</v>
      </c>
      <c r="C9" s="210">
        <v>7</v>
      </c>
      <c r="D9" s="211" t="str">
        <f>IF(IV!$X$2="","",IV!$X$2)</f>
        <v>Андреј Стојановски (47)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Борис Секулов (130)</v>
      </c>
      <c r="F10" s="152">
        <v>12</v>
      </c>
      <c r="G10" s="151" t="str">
        <f>IF(F10="","",VLOOKUP(F10,$C$3:$D$18,2,FALSE))</f>
        <v>Дарко Китановски (499)</v>
      </c>
      <c r="H10" s="75">
        <v>9</v>
      </c>
      <c r="I10" s="75">
        <v>3</v>
      </c>
      <c r="J10" s="75">
        <v>9</v>
      </c>
      <c r="K10" s="75"/>
      <c r="L10" s="75"/>
      <c r="M10" s="75"/>
      <c r="N10" s="75"/>
      <c r="O10" s="17">
        <f>IF(H10="","",SUMPRODUCT(--(H10:N10&gt;H11:N11)))</f>
        <v>0</v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>Филип Ангела (299)</v>
      </c>
      <c r="F11" s="154">
        <v>8</v>
      </c>
      <c r="G11" s="151" t="str">
        <f>IF(F11="","",VLOOKUP(F11,$C$3:$D$18,2,FALSE))</f>
        <v>Борис Секулов (130)</v>
      </c>
      <c r="H11" s="75">
        <v>11</v>
      </c>
      <c r="I11" s="75">
        <v>11</v>
      </c>
      <c r="J11" s="75">
        <v>11</v>
      </c>
      <c r="K11" s="75"/>
      <c r="L11" s="75"/>
      <c r="M11" s="75"/>
      <c r="N11" s="75"/>
      <c r="O11" s="17">
        <f>IF(H10="","",SUMPRODUCT(--(H10:N10&lt;H11:N11)))</f>
        <v>3</v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>Љупчо Треновски (404)</v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>Андреј Васевски (203)</v>
      </c>
      <c r="F13" s="153"/>
      <c r="O13" s="8"/>
      <c r="Z13" s="76"/>
      <c r="AA13" s="95" t="str">
        <f>IF(Y7="","",IF(Y7&gt;Y8,Q7,Q8))</f>
        <v>Лука Стојчев (73)</v>
      </c>
      <c r="AB13" s="75">
        <v>11</v>
      </c>
      <c r="AC13" s="75">
        <v>7</v>
      </c>
      <c r="AD13" s="75">
        <v>4</v>
      </c>
      <c r="AE13" s="75">
        <v>6</v>
      </c>
      <c r="AF13" s="75"/>
      <c r="AG13" s="75"/>
      <c r="AH13" s="75"/>
      <c r="AI13" s="17">
        <f>IF(AB13="","",SUMPRODUCT(--(AB13:AH13&gt;AB14:AH14)))</f>
        <v>1</v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>Дарко Китановски (499)</v>
      </c>
      <c r="F14" s="153"/>
      <c r="O14" s="8"/>
      <c r="Z14" s="82"/>
      <c r="AA14" s="95" t="str">
        <f>IF(Y19="","",IF(Y19&gt;Y20,Q19,Q20))</f>
        <v>Александар Јакимовски (178)</v>
      </c>
      <c r="AB14" s="75">
        <v>4</v>
      </c>
      <c r="AC14" s="75">
        <v>11</v>
      </c>
      <c r="AD14" s="75">
        <v>11</v>
      </c>
      <c r="AE14" s="75">
        <v>11</v>
      </c>
      <c r="AF14" s="75"/>
      <c r="AG14" s="75"/>
      <c r="AH14" s="75"/>
      <c r="AI14" s="17">
        <f>IF(AB13="","",SUMPRODUCT(--(AB13:AH13&lt;AB14:AH14)))</f>
        <v>3</v>
      </c>
      <c r="AJ14" s="11"/>
    </row>
    <row r="15" spans="2:52" ht="15.6">
      <c r="C15" s="35"/>
      <c r="D15" s="2"/>
      <c r="F15" s="153"/>
      <c r="Z15" s="76"/>
      <c r="AI15" s="79"/>
      <c r="AX15" s="426" t="str">
        <f>IF(AT25="","",IF(AT25&gt;AT26,AL25,AL26))</f>
        <v>Андреј Стојановски (47)</v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6" t="str">
        <f>IF(AT25="","",IF(AT25&lt;AT26,AL25,AL26))</f>
        <v>Александар Јакимовски (178)</v>
      </c>
      <c r="AX16" s="426"/>
      <c r="AY16" s="427" t="str">
        <f>IF(AT25=AT26,"",IF(AT34=AT35,AL34,IF(AT34&gt;AT35,AL34,AL35)))</f>
        <v>Лука Стојчев (73)</v>
      </c>
    </row>
    <row r="17" spans="3:52" ht="15.6">
      <c r="C17" s="35"/>
      <c r="D17" s="2"/>
      <c r="E17" t="s">
        <v>695</v>
      </c>
      <c r="F17" s="155">
        <v>5</v>
      </c>
      <c r="G17" s="156" t="str">
        <f>IF(F17="","",VLOOKUP(F17,$C$3:$D$18,2,FALSE))</f>
        <v>Александар Јакимовски (178)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6"/>
      <c r="AY18" s="427"/>
    </row>
    <row r="19" spans="3:52" ht="16.2" thickBot="1">
      <c r="C19" s="35"/>
      <c r="D19" s="2"/>
      <c r="F19" s="153"/>
      <c r="P19" s="76"/>
      <c r="Q19" s="96" t="str">
        <f>G17</f>
        <v>Александар Јакимовски (178)</v>
      </c>
      <c r="R19" s="75">
        <v>11</v>
      </c>
      <c r="S19" s="75">
        <v>11</v>
      </c>
      <c r="T19" s="75">
        <v>13</v>
      </c>
      <c r="U19" s="75"/>
      <c r="V19" s="75"/>
      <c r="W19" s="75"/>
      <c r="X19" s="75"/>
      <c r="Y19" s="17">
        <f>IF(R19="","",SUMPRODUCT(--(R19:X19&gt;R20:X20)))</f>
        <v>3</v>
      </c>
      <c r="AI19" s="80"/>
      <c r="AY19" s="428" t="str">
        <f>IF(AT25=AT26,"",IF(OR(AT34&gt;AT35,AT34&lt;AT35),"",AL35))</f>
        <v>Нико Доага (190)</v>
      </c>
    </row>
    <row r="20" spans="3:52" ht="16.2" thickBot="1">
      <c r="C20" s="35"/>
      <c r="D20" s="2"/>
      <c r="F20" s="153"/>
      <c r="P20" s="82"/>
      <c r="Q20" s="96" t="str">
        <f>IF(O22="","",IF(O22&gt;O23,G22,G23))</f>
        <v>Вања Спасиќ (448)</v>
      </c>
      <c r="R20" s="75">
        <v>8</v>
      </c>
      <c r="S20" s="75">
        <v>9</v>
      </c>
      <c r="T20" s="75">
        <v>11</v>
      </c>
      <c r="U20" s="75"/>
      <c r="V20" s="75"/>
      <c r="W20" s="75"/>
      <c r="X20" s="75"/>
      <c r="Y20" s="17">
        <f>IF(R19="","",SUMPRODUCT(--(R19:X19&lt;R20:X20)))</f>
        <v>0</v>
      </c>
      <c r="AI20" s="80"/>
      <c r="AX20" s="449" t="s">
        <v>58</v>
      </c>
      <c r="AY20" s="428"/>
    </row>
    <row r="21" spans="3:52" ht="16.2" thickBot="1">
      <c r="C21" s="35"/>
      <c r="D21" s="2"/>
      <c r="F21" s="153"/>
      <c r="O21" s="8"/>
      <c r="P21" s="76"/>
      <c r="AI21" s="80"/>
      <c r="AW21" s="452" t="s">
        <v>59</v>
      </c>
      <c r="AX21" s="450"/>
      <c r="AY21" s="428"/>
    </row>
    <row r="22" spans="3:52" ht="15.6">
      <c r="C22" s="35"/>
      <c r="D22" s="2"/>
      <c r="F22" s="336">
        <v>4</v>
      </c>
      <c r="G22" s="337" t="str">
        <f>IF(F22="","",VLOOKUP(F22,$C$3:$D$18,2,FALSE))</f>
        <v>Вања Спасиќ (448)</v>
      </c>
      <c r="H22" s="230">
        <v>11</v>
      </c>
      <c r="I22" s="230">
        <v>11</v>
      </c>
      <c r="J22" s="230">
        <v>6</v>
      </c>
      <c r="K22" s="230">
        <v>8</v>
      </c>
      <c r="L22" s="230">
        <v>12</v>
      </c>
      <c r="M22" s="230"/>
      <c r="N22" s="230"/>
      <c r="O22" s="338">
        <f>IF(H22="","",SUMPRODUCT(--(H22:N22&gt;H23:N23)))</f>
        <v>3</v>
      </c>
      <c r="AI22" s="80"/>
      <c r="AW22" s="453"/>
      <c r="AX22" s="450"/>
      <c r="AY22" s="455" t="s">
        <v>60</v>
      </c>
    </row>
    <row r="23" spans="3:52" ht="16.2" thickBot="1">
      <c r="C23" s="35"/>
      <c r="D23" s="2"/>
      <c r="E23" t="s">
        <v>694</v>
      </c>
      <c r="F23" s="154">
        <v>9</v>
      </c>
      <c r="G23" s="151" t="str">
        <f>IF(F23="","",VLOOKUP(F23,$C$3:$D$18,2,FALSE))</f>
        <v>Филип Ангела (299)</v>
      </c>
      <c r="H23" s="75">
        <v>7</v>
      </c>
      <c r="I23" s="75">
        <v>8</v>
      </c>
      <c r="J23" s="75">
        <v>11</v>
      </c>
      <c r="K23" s="75">
        <v>11</v>
      </c>
      <c r="L23" s="75">
        <v>10</v>
      </c>
      <c r="M23" s="75"/>
      <c r="N23" s="75"/>
      <c r="O23" s="17">
        <f>IF(H22="","",SUMPRODUCT(--(H22:N22&lt;H23:N23)))</f>
        <v>2</v>
      </c>
      <c r="AI23" s="80"/>
      <c r="AW23" s="454"/>
      <c r="AX23" s="451"/>
      <c r="AY23" s="456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>Александар Јакимовски (178)</v>
      </c>
      <c r="AM25" s="75">
        <v>9</v>
      </c>
      <c r="AN25" s="75">
        <v>5</v>
      </c>
      <c r="AO25" s="75">
        <v>11</v>
      </c>
      <c r="AP25" s="75">
        <v>11</v>
      </c>
      <c r="AQ25" s="75">
        <v>7</v>
      </c>
      <c r="AR25" s="75"/>
      <c r="AS25" s="75"/>
      <c r="AT25" s="17">
        <f>IF(AM25="","",SUMPRODUCT(--(AM25:AS25&gt;AM26:AS26)))</f>
        <v>2</v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>Андреј Стојановски (47)</v>
      </c>
      <c r="AM26" s="75">
        <v>11</v>
      </c>
      <c r="AN26" s="75">
        <v>11</v>
      </c>
      <c r="AO26" s="75">
        <v>7</v>
      </c>
      <c r="AP26" s="75">
        <v>5</v>
      </c>
      <c r="AQ26" s="75">
        <v>11</v>
      </c>
      <c r="AR26" s="75"/>
      <c r="AS26" s="75"/>
      <c r="AT26" s="17">
        <f>IF(AM25="","",SUMPRODUCT(--(AM25:AS25&lt;AM26:AS26)))</f>
        <v>3</v>
      </c>
    </row>
    <row r="27" spans="3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7" t="str">
        <f>IF(AT25="","",IF(AT25&gt;AT26,AL25,AL26))</f>
        <v>Андреј Стојановски (47)</v>
      </c>
      <c r="AY28" s="457"/>
      <c r="AZ28" s="457"/>
    </row>
    <row r="29" spans="3:52" ht="15.6">
      <c r="C29" s="35"/>
      <c r="D29" s="2"/>
      <c r="E29" t="s">
        <v>694</v>
      </c>
      <c r="F29" s="155">
        <v>7</v>
      </c>
      <c r="G29" s="156" t="str">
        <f>IF(F29="","",VLOOKUP(F29,$C$3:$D$18,2,FALSE))</f>
        <v>Андреј Стојановски (47)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>Александар Јакимовски (178)</v>
      </c>
      <c r="AY29" s="442"/>
      <c r="AZ29" s="44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>Лука Стојчев (73)</v>
      </c>
      <c r="AY30" s="443"/>
      <c r="AZ30" s="443"/>
    </row>
    <row r="31" spans="3:52" ht="15.6">
      <c r="C31" s="35"/>
      <c r="D31" s="2"/>
      <c r="F31" s="153"/>
      <c r="P31" s="76"/>
      <c r="Q31" s="96" t="str">
        <f>G29</f>
        <v>Андреј Стојановски (47)</v>
      </c>
      <c r="R31" s="75">
        <v>11</v>
      </c>
      <c r="S31" s="75">
        <v>9</v>
      </c>
      <c r="T31" s="75">
        <v>11</v>
      </c>
      <c r="U31" s="75">
        <v>9</v>
      </c>
      <c r="V31" s="75">
        <v>11</v>
      </c>
      <c r="W31" s="75"/>
      <c r="X31" s="75"/>
      <c r="Y31" s="17">
        <f>IF(R31="","",SUMPRODUCT(--(R31:X31&gt;R32:X32)))</f>
        <v>3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>Нико Доага (190)</v>
      </c>
      <c r="AY31" s="443"/>
      <c r="AZ31" s="443"/>
    </row>
    <row r="32" spans="3:52" ht="15.6">
      <c r="C32" s="35"/>
      <c r="D32" s="2"/>
      <c r="F32" s="153"/>
      <c r="P32" s="82"/>
      <c r="Q32" s="96" t="str">
        <f>IF(O34="","",IF(O34&gt;O35,G34,G35))</f>
        <v>Андреј Васевски (203)</v>
      </c>
      <c r="R32" s="75">
        <v>8</v>
      </c>
      <c r="S32" s="75">
        <v>11</v>
      </c>
      <c r="T32" s="75">
        <v>5</v>
      </c>
      <c r="U32" s="75">
        <v>11</v>
      </c>
      <c r="V32" s="75">
        <v>5</v>
      </c>
      <c r="W32" s="75"/>
      <c r="X32" s="75"/>
      <c r="Y32" s="17">
        <f>IF(R31="","",SUMPRODUCT(--(R31:X31&lt;R32:X32)))</f>
        <v>2</v>
      </c>
      <c r="AI32" s="80"/>
      <c r="AK32" s="38"/>
      <c r="AV32" s="87">
        <v>5</v>
      </c>
      <c r="AW32" s="88" t="s">
        <v>80</v>
      </c>
      <c r="AX32" s="444" t="str">
        <f>IF(Y7="","",IF(Y7&lt;Y8,Q7,Q8))</f>
        <v>Борис Секулов (130)</v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>Вања Спасиќ (448)</v>
      </c>
      <c r="AY33" s="444"/>
      <c r="AZ33" s="444"/>
    </row>
    <row r="34" spans="3:52" ht="15.6">
      <c r="C34" s="35"/>
      <c r="D34" s="2"/>
      <c r="F34" s="152">
        <v>10</v>
      </c>
      <c r="G34" s="151" t="str">
        <f>IF(F34="","",VLOOKUP(F34,$C$3:$D$18,2,FALSE))</f>
        <v>Љупчо Треновски (404)</v>
      </c>
      <c r="H34" s="75">
        <v>5</v>
      </c>
      <c r="I34" s="75">
        <v>3</v>
      </c>
      <c r="J34" s="75">
        <v>2</v>
      </c>
      <c r="K34" s="75"/>
      <c r="L34" s="75"/>
      <c r="M34" s="75"/>
      <c r="N34" s="75"/>
      <c r="O34" s="17">
        <f>IF(H34="","",SUMPRODUCT(--(H34:N34&gt;H35:N35)))</f>
        <v>0</v>
      </c>
      <c r="Z34" s="76"/>
      <c r="AI34" s="80"/>
      <c r="AK34" s="62"/>
      <c r="AL34" s="98" t="str">
        <f>IF(AI13="","",IF(AI13&lt;AI14,AA13,AA14))</f>
        <v>Лука Стојчев (73)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>Андреј Васевски (203)</v>
      </c>
      <c r="AY34" s="444"/>
      <c r="AZ34" s="444"/>
    </row>
    <row r="35" spans="3:52">
      <c r="E35" t="s">
        <v>695</v>
      </c>
      <c r="F35" s="154">
        <v>11</v>
      </c>
      <c r="G35" s="151" t="str">
        <f>IF(F35="","",VLOOKUP(F35,$C$3:$D$18,2,FALSE))</f>
        <v>Андреј Васевски (203)</v>
      </c>
      <c r="H35" s="75">
        <v>11</v>
      </c>
      <c r="I35" s="75">
        <v>11</v>
      </c>
      <c r="J35" s="75">
        <v>11</v>
      </c>
      <c r="K35" s="75"/>
      <c r="L35" s="75"/>
      <c r="M35" s="75"/>
      <c r="N35" s="75"/>
      <c r="O35" s="17">
        <f>IF(H34="","",SUMPRODUCT(--(H34:N34&lt;H35:N35)))</f>
        <v>3</v>
      </c>
      <c r="Z35" s="76"/>
      <c r="AI35" s="80"/>
      <c r="AL35" s="98" t="str">
        <f>IF(AI37="","",IF(AI37&lt;AI38,AA37,AA38))</f>
        <v>Нико Доага (190)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5" t="str">
        <f>IF(Y43="","",IF(Y43&lt;Y44,Q43,Q44))</f>
        <v>Кристијан Каламадевски (347)</v>
      </c>
      <c r="AY35" s="445"/>
      <c r="AZ35" s="445"/>
    </row>
    <row r="36" spans="3:52">
      <c r="F36" s="153"/>
      <c r="Z36" s="76"/>
      <c r="AI36" s="81"/>
      <c r="AV36" s="164"/>
      <c r="AW36" s="165"/>
      <c r="AX36" s="446"/>
      <c r="AY36" s="446"/>
      <c r="AZ36" s="446"/>
    </row>
    <row r="37" spans="3:52">
      <c r="F37" s="153"/>
      <c r="O37" s="8"/>
      <c r="Z37" s="76"/>
      <c r="AA37" s="95" t="str">
        <f>IF(Y31="","",IF(Y31&gt;Y32,Q31,Q32))</f>
        <v>Андреј Стојановски (47)</v>
      </c>
      <c r="AB37" s="75">
        <v>9</v>
      </c>
      <c r="AC37" s="75">
        <v>11</v>
      </c>
      <c r="AD37" s="75">
        <v>11</v>
      </c>
      <c r="AE37" s="75">
        <v>8</v>
      </c>
      <c r="AF37" s="75">
        <v>11</v>
      </c>
      <c r="AG37" s="75"/>
      <c r="AH37" s="75"/>
      <c r="AI37" s="17">
        <f>IF(AB37="","",SUMPRODUCT(--(AB37:AH37&gt;AB38:AH38)))</f>
        <v>3</v>
      </c>
      <c r="AJ37" s="11"/>
      <c r="AV37" s="163"/>
      <c r="AW37" s="4"/>
      <c r="AX37" s="437"/>
      <c r="AY37" s="437"/>
      <c r="AZ37" s="437"/>
    </row>
    <row r="38" spans="3:52">
      <c r="F38" s="153"/>
      <c r="O38" s="8"/>
      <c r="Z38" s="82"/>
      <c r="AA38" s="95" t="str">
        <f>IF(Y43="","",IF(Y43&gt;Y44,Q43,Q44))</f>
        <v>Нико Доага (190)</v>
      </c>
      <c r="AB38" s="75">
        <v>11</v>
      </c>
      <c r="AC38" s="75">
        <v>7</v>
      </c>
      <c r="AD38" s="75">
        <v>4</v>
      </c>
      <c r="AE38" s="75">
        <v>11</v>
      </c>
      <c r="AF38" s="75">
        <v>9</v>
      </c>
      <c r="AG38" s="75"/>
      <c r="AH38" s="75"/>
      <c r="AI38" s="17">
        <f>IF(AB37="","",SUMPRODUCT(--(AB37:AH37&lt;AB38:AH38)))</f>
        <v>2</v>
      </c>
      <c r="AJ38" s="11"/>
      <c r="AV38" s="163"/>
      <c r="AW38" s="4"/>
      <c r="AX38" s="437"/>
      <c r="AY38" s="437"/>
      <c r="AZ38" s="437"/>
    </row>
    <row r="39" spans="3:52">
      <c r="F39" s="153"/>
      <c r="Z39" s="76"/>
      <c r="AV39" s="163"/>
      <c r="AW39" s="4"/>
      <c r="AX39" s="437"/>
      <c r="AY39" s="437"/>
      <c r="AZ39" s="43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7"/>
      <c r="AY40" s="437"/>
      <c r="AZ40" s="437"/>
    </row>
    <row r="41" spans="3:52">
      <c r="F41" s="155">
        <v>3</v>
      </c>
      <c r="G41" s="156" t="str">
        <f>IF(F41="","",VLOOKUP(F41,$C$3:$D$18,2,FALSE))</f>
        <v>Нико Доага (190)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7"/>
      <c r="AY41" s="437"/>
      <c r="AZ41" s="437"/>
    </row>
    <row r="42" spans="3:52" ht="15.6">
      <c r="F42" s="152">
        <v>6</v>
      </c>
      <c r="G42" s="151" t="str">
        <f>IF(F42="","",VLOOKUP(F42,$C$3:$D$18,2,FALSE))</f>
        <v>Кристијан Каламадевски (347)</v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7"/>
      <c r="AY42" s="437"/>
      <c r="AZ42" s="437"/>
    </row>
    <row r="43" spans="3:52">
      <c r="F43" s="153"/>
      <c r="P43" s="76"/>
      <c r="Q43" s="96" t="str">
        <f>G41</f>
        <v>Нико Доага (190)</v>
      </c>
      <c r="R43" s="75">
        <v>11</v>
      </c>
      <c r="S43" s="75">
        <v>10</v>
      </c>
      <c r="T43" s="75">
        <v>11</v>
      </c>
      <c r="U43" s="75">
        <v>7</v>
      </c>
      <c r="V43" s="75">
        <v>11</v>
      </c>
      <c r="W43" s="75"/>
      <c r="X43" s="75"/>
      <c r="Y43" s="17">
        <f>IF(R43="","",SUMPRODUCT(--(R43:X43&gt;R44:X44)))</f>
        <v>3</v>
      </c>
      <c r="AV43" s="163"/>
      <c r="AW43" s="4"/>
      <c r="AX43" s="437"/>
      <c r="AY43" s="437"/>
      <c r="AZ43" s="437"/>
    </row>
    <row r="44" spans="3:52">
      <c r="F44" s="153"/>
      <c r="P44" s="82"/>
      <c r="Q44" s="96" t="str">
        <f>G47</f>
        <v>Кристијан Каламадевски (347)</v>
      </c>
      <c r="R44" s="75">
        <v>9</v>
      </c>
      <c r="S44" s="75">
        <v>12</v>
      </c>
      <c r="T44" s="75">
        <v>9</v>
      </c>
      <c r="U44" s="75">
        <v>11</v>
      </c>
      <c r="V44" s="75">
        <v>5</v>
      </c>
      <c r="W44" s="75"/>
      <c r="X44" s="75"/>
      <c r="Y44" s="17">
        <f>IF(R43="","",SUMPRODUCT(--(R43:X43&lt;R44:X44)))</f>
        <v>2</v>
      </c>
    </row>
    <row r="45" spans="3:52">
      <c r="F45" s="153"/>
      <c r="O45" s="8"/>
      <c r="P45" s="76"/>
    </row>
    <row r="46" spans="3:52" ht="15.6">
      <c r="F46" s="336">
        <v>2</v>
      </c>
      <c r="G46" s="151" t="str">
        <f>IF(F46="","",VLOOKUP(F46,$C$3:$D$18,2,FALSE))</f>
        <v>Давид Јоноски (287)</v>
      </c>
      <c r="H46" s="230">
        <v>8</v>
      </c>
      <c r="I46" s="230">
        <v>7</v>
      </c>
      <c r="J46" s="230">
        <v>5</v>
      </c>
      <c r="K46" s="230"/>
      <c r="L46" s="230"/>
      <c r="M46" s="230"/>
      <c r="N46" s="230"/>
      <c r="O46" s="338"/>
    </row>
    <row r="47" spans="3:52">
      <c r="F47" s="154">
        <v>6</v>
      </c>
      <c r="G47" s="151" t="str">
        <f>IF(F47="","",VLOOKUP(F47,$C$3:$D$18,2,FALSE))</f>
        <v>Кристијан Каламадевски (347)</v>
      </c>
      <c r="H47" s="75">
        <v>11</v>
      </c>
      <c r="I47" s="75">
        <v>11</v>
      </c>
      <c r="J47" s="75">
        <v>11</v>
      </c>
      <c r="K47" s="75"/>
      <c r="L47" s="75"/>
      <c r="M47" s="75"/>
      <c r="N47" s="75"/>
      <c r="O47" s="17">
        <f>IF(H46="","",SUMPRODUCT(--(H46:N46&lt;H47:N47)))</f>
        <v>3</v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2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Лука Стојчев (73)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Давид Јоноски (287)</v>
      </c>
      <c r="E4">
        <v>1</v>
      </c>
      <c r="F4" s="152">
        <v>1</v>
      </c>
      <c r="G4" s="151" t="str">
        <f>IF(F4="","",VLOOKUP(F4,$C$3:$D$18,2,FALSE))</f>
        <v>Лука Стојчев (73)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Нико Доага (190)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Вања Спасиќ (448)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Александар Јакимовски (178)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Кристијан Каламадевски (347)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Андреј Стојановски (47)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Борис Секулов (130)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>Филип Ангела (299)</v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>Љупчо Треновски (404)</v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>Андреј Васевски (203)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>Дарко Китановски (499)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6" t="str">
        <f>IF(AT25="","",IF(AT25&lt;AT26,AL25,AL26))</f>
        <v/>
      </c>
      <c r="AX16" s="426"/>
      <c r="AY16" s="42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6"/>
      <c r="AX17" s="426"/>
      <c r="AY17" s="42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6"/>
      <c r="AY18" s="42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9" t="s">
        <v>58</v>
      </c>
      <c r="AY20" s="428"/>
    </row>
    <row r="21" spans="2:52" ht="16.2" thickBot="1">
      <c r="C21" s="35"/>
      <c r="D21" s="2"/>
      <c r="F21" s="153"/>
      <c r="O21" s="8"/>
      <c r="P21" s="76"/>
      <c r="AI21" s="80"/>
      <c r="AW21" s="458" t="s">
        <v>59</v>
      </c>
      <c r="AX21" s="450"/>
      <c r="AY21" s="42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9"/>
      <c r="AX22" s="450"/>
      <c r="AY22" s="455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0"/>
      <c r="AX23" s="451"/>
      <c r="AY23" s="456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8" t="s">
        <v>81</v>
      </c>
      <c r="AW27" s="439"/>
      <c r="AX27" s="439"/>
      <c r="AY27" s="439"/>
      <c r="AZ27" s="44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41" t="str">
        <f>IF(AT25="","",IF(AT25&gt;AT26,AL25,AL26))</f>
        <v/>
      </c>
      <c r="AY28" s="441"/>
      <c r="AZ28" s="44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2" t="str">
        <f>IF(AT25="","",IF(AT25&lt;AT26,AL25,AL26))</f>
        <v/>
      </c>
      <c r="AY29" s="442"/>
      <c r="AZ29" s="44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3" t="str">
        <f>IF(AT25=AT26,"",IF(AT34=AT35,AL34,IF(AT34&gt;AT35,AL34,AL35)))</f>
        <v/>
      </c>
      <c r="AY30" s="443"/>
      <c r="AZ30" s="44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3" t="str">
        <f>IF(AT25=AT26,"",IF(AT34=AT35,AL35,IF(AT34&lt;AT35,AL34,AL35)))</f>
        <v/>
      </c>
      <c r="AY31" s="443"/>
      <c r="AZ31" s="44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4" t="str">
        <f>IF(Y7="","",IF(Y7&lt;Y8,Q7,Q8))</f>
        <v/>
      </c>
      <c r="AY32" s="444"/>
      <c r="AZ32" s="44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4" t="str">
        <f>IF(Y19="","",IF(Y19&lt;Y20,Q19,Q20))</f>
        <v/>
      </c>
      <c r="AY33" s="444"/>
      <c r="AZ33" s="44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4" t="str">
        <f>IF(Y31="","",IF(Y31&lt;Y32,Q31,Q32))</f>
        <v/>
      </c>
      <c r="AY34" s="444"/>
      <c r="AZ34" s="44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4" t="str">
        <f>IF(Y43="","",IF(Y43&lt;Y44,Q43,Q44))</f>
        <v/>
      </c>
      <c r="AY35" s="444"/>
      <c r="AZ35" s="44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Давид Јоноски (287)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7"/>
      <c r="AY50" s="437"/>
      <c r="AZ50" s="437"/>
    </row>
    <row r="51" spans="46:52">
      <c r="AW51" s="4"/>
      <c r="AX51" s="437"/>
      <c r="AY51" s="437"/>
      <c r="AZ51" s="437"/>
    </row>
    <row r="52" spans="46:52">
      <c r="AW52" s="4"/>
      <c r="AX52" s="437"/>
      <c r="AY52" s="437"/>
      <c r="AZ52" s="43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Лука Стојчев (73)</v>
      </c>
      <c r="E3" s="58" t="s">
        <v>530</v>
      </c>
      <c r="F3">
        <v>1</v>
      </c>
      <c r="G3" s="47">
        <v>1</v>
      </c>
      <c r="H3" s="70" t="str">
        <f>IF(G3="","",VLOOKUP(G3,$C$3:$F$26,2,FALSE))</f>
        <v>Лука Стојчев (73)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Давид Јоноски (287)</v>
      </c>
      <c r="G4" s="35"/>
      <c r="Q4" s="62"/>
      <c r="R4" s="74" t="str">
        <f>H3</f>
        <v>Лука Стојчев (73)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Нико Доага (190)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Вања Спасиќ (448)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Александар Јакимовски (178)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Кристијан Каламадевски (347)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Андреј Стојановски (47)</v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Борис Секулов (130)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>Филип Ангела (299)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>Љупчо Треновски (404)</v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>Андреј Васевски (203)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>Дарко Китановски (499)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Нико Доага (190)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Нико Доага (190)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2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Лука Стојчев (73)</v>
      </c>
      <c r="E3" s="316" t="s">
        <v>524</v>
      </c>
      <c r="F3">
        <v>1</v>
      </c>
      <c r="G3" s="47">
        <v>1</v>
      </c>
      <c r="H3" s="70" t="str">
        <f>IF(G3="","",VLOOKUP(G3,$C$3:$E$26,2,FALSE))</f>
        <v>Лука Стојчев (73)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Давид Јоноски (287)</v>
      </c>
      <c r="G4" s="35"/>
      <c r="Q4" s="62"/>
      <c r="R4" s="74" t="str">
        <f>H3</f>
        <v>Лука Стојчев (73)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Нико Доага (190)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Вања Спасиќ (448)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Александар Јакимовски (178)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Кристијан Каламадевски (347)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Андреј Стојановски (47)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Борис Секулов (130)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>Филип Ангела (299)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>Љупчо Треновски (404)</v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>Андреј Васевски (203)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>Дарко Китановски (499)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6" t="str">
        <f>IF(BE25="","",IF(BE25&lt;BE26,AW25,AW26))</f>
        <v/>
      </c>
      <c r="BI16" s="426"/>
      <c r="BJ16" s="42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6"/>
      <c r="BI17" s="426"/>
      <c r="BJ17" s="42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6"/>
      <c r="BJ18" s="42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9" t="s">
        <v>58</v>
      </c>
      <c r="BJ20" s="42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2" t="s">
        <v>59</v>
      </c>
      <c r="BI21" s="430"/>
      <c r="BJ21" s="42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3"/>
      <c r="BI22" s="430"/>
      <c r="BJ22" s="43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4"/>
      <c r="BI23" s="431"/>
      <c r="BJ23" s="43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Нико Доага (190)</v>
      </c>
      <c r="AT27" s="80"/>
      <c r="AV27" s="38"/>
      <c r="BG27" s="438" t="s">
        <v>81</v>
      </c>
      <c r="BH27" s="439"/>
      <c r="BI27" s="439"/>
      <c r="BJ27" s="439"/>
      <c r="BK27" s="44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Нико Доага (190)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41" t="str">
        <f>IF(BE25="","",IF(BE25&gt;BE26,AW25,AW26))</f>
        <v/>
      </c>
      <c r="BJ28" s="441"/>
      <c r="BK28" s="44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2" t="str">
        <f>IF(BE25="","",IF(BE25&lt;BE26,AW25,AW26))</f>
        <v/>
      </c>
      <c r="BJ29" s="442"/>
      <c r="BK29" s="44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3" t="str">
        <f>IF(BE25=BE26,"",IF(BE34=BE35,AW34,IF(BE34&gt;BE35,AW34,AW35)))</f>
        <v/>
      </c>
      <c r="BJ30" s="443"/>
      <c r="BK30" s="44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3" t="str">
        <f>IF(BE25=BE26,"",IF(BE34=BE35,AW35,IF(BE34&lt;BE35,AW34,AW35)))</f>
        <v/>
      </c>
      <c r="BJ31" s="443"/>
      <c r="BK31" s="44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4" t="str">
        <f>IF(AJ7="","",IF(AJ7&lt;AJ8,AB7,AB8))</f>
        <v/>
      </c>
      <c r="BJ32" s="444"/>
      <c r="BK32" s="44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4" t="str">
        <f>IF(AJ19="","",IF(AJ19&lt;AJ20,AB19,AB20))</f>
        <v/>
      </c>
      <c r="BJ33" s="444"/>
      <c r="BK33" s="44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4" t="str">
        <f>IF(AJ31="","",IF(AJ31&lt;AJ32,AB31,AB32))</f>
        <v/>
      </c>
      <c r="BJ34" s="444"/>
      <c r="BK34" s="44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4" t="str">
        <f>IF(AJ43="","",IF(AJ43&lt;AJ44,AB43,AB44))</f>
        <v/>
      </c>
      <c r="BJ35" s="444"/>
      <c r="BK35" s="44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7"/>
      <c r="BJ50" s="437"/>
      <c r="BK50" s="437"/>
    </row>
    <row r="51" spans="8:63">
      <c r="H51"/>
      <c r="I51"/>
      <c r="J51"/>
      <c r="K51"/>
      <c r="L51"/>
      <c r="M51"/>
      <c r="N51"/>
      <c r="O51"/>
      <c r="P51"/>
      <c r="BH51" s="4"/>
      <c r="BI51" s="437"/>
      <c r="BJ51" s="437"/>
      <c r="BK51" s="437"/>
    </row>
    <row r="52" spans="8:63">
      <c r="H52"/>
      <c r="I52"/>
      <c r="J52"/>
      <c r="K52"/>
      <c r="L52"/>
      <c r="M52"/>
      <c r="N52"/>
      <c r="O52"/>
      <c r="P52"/>
      <c r="BH52" s="4"/>
      <c r="BI52" s="437"/>
      <c r="BJ52" s="437"/>
      <c r="BK52" s="43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2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Лука Стојчев (73)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Давид Јоноски (287)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Нико Доага (190)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Вања Спасиќ (448)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Александар Јакимовски (178)</v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>Кристијан Каламадевски (347)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>Андреј Стојановски (47)</v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>Борис Секулов (130)</v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>Филип Ангела (299)</v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>Љупчо Треновски (404)</v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>Андреј Васевски (203)</v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>Дарко Китановски (499)</v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2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26" t="str">
        <f>IF(BE33=BE34,"",IF(BE33="","",IF(BE33&lt;BE34,AW33,AW34)))</f>
        <v/>
      </c>
      <c r="BH16" s="426"/>
      <c r="BI16" s="42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26"/>
      <c r="BH17" s="426"/>
      <c r="BI17" s="42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26"/>
      <c r="BI18" s="42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2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29" t="s">
        <v>58</v>
      </c>
      <c r="BI20" s="42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30"/>
      <c r="BI21" s="42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2" t="s">
        <v>59</v>
      </c>
      <c r="BH22" s="430"/>
      <c r="BI22" s="43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3"/>
      <c r="BH23" s="431"/>
      <c r="BI23" s="43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8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8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8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28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29" t="s">
        <v>58</v>
      </c>
      <c r="BI46" s="428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30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2" t="s">
        <v>59</v>
      </c>
      <c r="BH48" s="430"/>
      <c r="BI48" s="43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3"/>
      <c r="BH49" s="431"/>
      <c r="BI49" s="43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38" t="s">
        <v>81</v>
      </c>
      <c r="BG51" s="439"/>
      <c r="BH51" s="439"/>
      <c r="BI51" s="439"/>
      <c r="BJ51" s="44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4" t="str">
        <f>IF(BE33="","",IF(BE33&gt;BE34,AW33,AW34))</f>
        <v/>
      </c>
      <c r="BI52" s="464"/>
      <c r="BJ52" s="464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42" t="str">
        <f>IF(BE33=BE34,"",IF(BE33="","",IF(BE33&lt;BE34,AW33,AW34)))</f>
        <v/>
      </c>
      <c r="BI53" s="442"/>
      <c r="BJ53" s="44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43" t="str">
        <f>IF(BE33=BE34,"",IF(BE41=BE42,AW41,IF(BE41&gt;BE42,AW41,AW42)))</f>
        <v/>
      </c>
      <c r="BI54" s="443"/>
      <c r="BJ54" s="44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43" t="str">
        <f>IF(BE33=BE34,"",IF(BE41=BE42,AW42,IF(BE42&lt;BE41,AW42,AW41)))</f>
        <v/>
      </c>
      <c r="BI55" s="443"/>
      <c r="BJ55" s="44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44" t="str">
        <f>IF(AJ9="","",IF(AJ9&lt;AJ10,AB9,AB10))</f>
        <v/>
      </c>
      <c r="BI56" s="444"/>
      <c r="BJ56" s="44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44" t="str">
        <f>IF(AJ25="","",IF(AJ25&lt;AJ26,AB25,AB26))</f>
        <v/>
      </c>
      <c r="BI57" s="444"/>
      <c r="BJ57" s="44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44" t="str">
        <f>IF(AJ41="","",IF(AJ41&lt;AJ42,AB41,AB42))</f>
        <v/>
      </c>
      <c r="BI58" s="444"/>
      <c r="BJ58" s="44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44" t="str">
        <f>IF(AJ57="","",IF(AJ57&lt;AJ58,AB57,AB58))</f>
        <v/>
      </c>
      <c r="BI59" s="444"/>
      <c r="BJ59" s="44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2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Лука Стојчев (73)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Давид Јоноски (287)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Нико Доага (190)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Вања Спасиќ (448)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Александар Јакимовски (178)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Кристијан Каламадевски (347)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Андреј Стојановски (47)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Борис Секулов (130)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>Филип Ангела (299)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>Љупчо Треновски (404)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>Андреј Васевски (203)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>Дарко Китановски (499)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/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Лука Стојчев (73)</v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/>
      </c>
      <c r="Y3" s="376"/>
      <c r="Z3" s="377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4">
        <f>SUM(AH3:AJ3)-SUM(AM3:AO3)</f>
        <v>0</v>
      </c>
      <c r="AL3" s="385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>Давид Јоноски (287)</v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6" t="str">
        <f t="shared" si="0"/>
        <v/>
      </c>
      <c r="Y4" s="387"/>
      <c r="Z4" s="38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4">
        <f t="shared" ref="AK4:AK6" si="2">SUM(AH4:AJ4)-SUM(AM4:AO4)</f>
        <v>0</v>
      </c>
      <c r="AL4" s="385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>Ненад Тиловски (129)</v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6" t="str">
        <f t="shared" si="0"/>
        <v/>
      </c>
      <c r="Y5" s="387"/>
      <c r="Z5" s="38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4">
        <f t="shared" si="2"/>
        <v>0</v>
      </c>
      <c r="AL5" s="385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 ht="18.600000000000001" thickBot="1">
      <c r="B9" s="183">
        <v>1</v>
      </c>
      <c r="C9" s="184" t="str">
        <f>IF(C3="","",VLOOKUP(B9,$B$3:$E$6,2,FALSE))</f>
        <v>Лука Стојчев (73)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Давид Јоноски (287)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Давид Јоноски (287)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Ненад Тиловски (129)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 hidden="1">
      <c r="B17" s="128">
        <v>1</v>
      </c>
      <c r="C17" s="129" t="str">
        <f>IF(C5="","",VLOOKUP(B17,$B$3:$E$6,2,FALSE))</f>
        <v>Лука Стојчев (73)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Ненад Тиловски (129)</v>
      </c>
      <c r="D18" s="140">
        <v>2</v>
      </c>
      <c r="E18" s="141" t="str">
        <f>IF(C5="","",VLOOKUP(D18,$B$3:$E$6,2,FALSE))</f>
        <v>Давид Јоноски (287)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K19" sqref="K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403" t="str">
        <f>IF(ISERROR(INDEX($C$3:$C$6,MATCH(W2,$T$3:$T$6,0))),"",(INDEX($C$3:$C$6,MATCH(W2,$T$3:$T$6,0))))</f>
        <v>Лука Стојчев (73)</v>
      </c>
      <c r="Y2" s="404"/>
      <c r="Z2" s="405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IF(GROUPS!D4="","",GROUPS!D4)</f>
        <v>Лука Стојчев (73)</v>
      </c>
      <c r="D3" s="381"/>
      <c r="E3" s="382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74</v>
      </c>
      <c r="Q3" s="111">
        <f>IF(AND(T9="",T13="",T17=""),"",AP3)</f>
        <v>34</v>
      </c>
      <c r="R3" s="383">
        <f>IF(ISERROR(IF(AND(T9="",T13="",T17=""),"",SUM(AB3:AD3)+(N3-O3)/1000)+(AK3/10000)),"",IF(AND(T9="",T13="",T17=""),"",SUM(AB3:AD3)+(N3-O3)/1000)+(AK3/10000)+(AG3/100000))</f>
        <v>4.0097399999999999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403" t="str">
        <f t="shared" ref="X3:X5" si="0">IF(ISERROR(INDEX($C$3:$C$6,MATCH(W3,$T$3:$T$6,0))),"",(INDEX($C$3:$C$6,MATCH(W3,$T$3:$T$6,0))))</f>
        <v>Давид Јоноски (287)</v>
      </c>
      <c r="Y3" s="404"/>
      <c r="Z3" s="40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74</v>
      </c>
      <c r="AH3" s="10">
        <f>F9+H9+J9+L9+N9+P9+R9</f>
        <v>33</v>
      </c>
      <c r="AI3" s="10">
        <f>F13+H13+J13+L13+N13+P13+R13</f>
        <v>41</v>
      </c>
      <c r="AJ3" s="10">
        <f>F17+H17+J17+L17+N17+P17+R17</f>
        <v>0</v>
      </c>
      <c r="AK3" s="384">
        <f>SUM(AH3:AJ3)-SUM(AM3:AO3)</f>
        <v>40</v>
      </c>
      <c r="AL3" s="385"/>
      <c r="AM3" s="10">
        <f>AH5</f>
        <v>9</v>
      </c>
      <c r="AN3" s="10">
        <f>AI4</f>
        <v>25</v>
      </c>
      <c r="AO3" s="10">
        <f>AJ6</f>
        <v>0</v>
      </c>
      <c r="AP3" s="9">
        <f>SUM(AM3:AO3)</f>
        <v>34</v>
      </c>
    </row>
    <row r="4" spans="2:47" ht="24" customHeight="1">
      <c r="B4" s="101">
        <v>2</v>
      </c>
      <c r="C4" s="380" t="str">
        <f>IF(GROUPS!D5="","",GROUPS!D5)</f>
        <v>Давид Јоноски (287)</v>
      </c>
      <c r="D4" s="381"/>
      <c r="E4" s="382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3</v>
      </c>
      <c r="P4" s="110">
        <f>IF(AND(T10="",U13="",U18=""),"",AG4)</f>
        <v>58</v>
      </c>
      <c r="Q4" s="111">
        <f>IF(AND(T10="",U13="",U18=""),"",AP4)</f>
        <v>62</v>
      </c>
      <c r="R4" s="383">
        <f>IF(ISERROR(IF(AND(T10="",U13="",U18=""),"",SUM(AB4:AD4)+(N4-O4)/1000)+(AK4/10000)+(AG4/100000)),"",IF(AND(T10="",U13="",U18=""),"",SUM(AB4:AD4)+(N4-O4)/1000)+(AK4/10000)+(AG4/100000))</f>
        <v>3.0011799999999997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406" t="str">
        <f t="shared" si="0"/>
        <v>Ненад Тиловски (129)</v>
      </c>
      <c r="Y4" s="407"/>
      <c r="Z4" s="40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58</v>
      </c>
      <c r="AH4" s="10">
        <f>F10+H10+J10+L10+N10+P10+R10</f>
        <v>0</v>
      </c>
      <c r="AI4" s="10">
        <f>G13+I13+K13+M13+O13+Q13+S13</f>
        <v>25</v>
      </c>
      <c r="AJ4" s="10">
        <f>G18+I18+K18+M18+O18+Q18+S18</f>
        <v>33</v>
      </c>
      <c r="AK4" s="384">
        <f t="shared" ref="AK4:AK6" si="2">SUM(AH4:AJ4)-SUM(AM4:AO4)</f>
        <v>-4</v>
      </c>
      <c r="AL4" s="385"/>
      <c r="AM4" s="10">
        <f>AH6</f>
        <v>0</v>
      </c>
      <c r="AN4" s="10">
        <f>AI3</f>
        <v>41</v>
      </c>
      <c r="AO4" s="10">
        <f>AJ5</f>
        <v>21</v>
      </c>
      <c r="AP4" s="9">
        <f t="shared" ref="AP4:AP6" si="3">SUM(AM4:AO4)</f>
        <v>62</v>
      </c>
    </row>
    <row r="5" spans="2:47" ht="24" customHeight="1">
      <c r="B5" s="101">
        <v>3</v>
      </c>
      <c r="C5" s="380" t="str">
        <f>IF(GROUPS!D6="","",GROUPS!D6)</f>
        <v>Ненад Тиловски (129)</v>
      </c>
      <c r="D5" s="381"/>
      <c r="E5" s="382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30</v>
      </c>
      <c r="Q5" s="111">
        <f>IF(AND(U9="",T14="",T18=""),"",AP5)</f>
        <v>66</v>
      </c>
      <c r="R5" s="383">
        <f>IF(ISERROR(IF(AND(U9="",T14="",T18=""),"",SUM(AB5:AD5)+(N5-O5)/1000)+(AK5/10000)+(AG5/100000)),"",IF(AND(U9="",T14="",T18=""),"",SUM(AB5:AD5)+(N5-O5)/1000)+(AK5/10000)+(AG5/100000))</f>
        <v>1.9906999999999999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406" t="str">
        <f t="shared" si="0"/>
        <v/>
      </c>
      <c r="Y5" s="407"/>
      <c r="Z5" s="40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30</v>
      </c>
      <c r="AH5" s="10">
        <f>G9+I9+K9+M9+O9+Q9+S9</f>
        <v>9</v>
      </c>
      <c r="AI5" s="10">
        <f>F14+H14+J14+L14+N14+P14+R14</f>
        <v>0</v>
      </c>
      <c r="AJ5" s="10">
        <f>F18+H18+J18+L18+N18+P18+R18</f>
        <v>21</v>
      </c>
      <c r="AK5" s="384">
        <f t="shared" si="2"/>
        <v>-36</v>
      </c>
      <c r="AL5" s="385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9" t="str">
        <f>IF(GROUPS!D7="","",GROUPS!D7)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162</v>
      </c>
      <c r="Q7" s="127">
        <f>SUM(Q3:Q6)</f>
        <v>162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Лука Стојчев (73)</v>
      </c>
      <c r="D9" s="130">
        <v>3</v>
      </c>
      <c r="E9" s="131" t="str">
        <f>IF(C5="","",VLOOKUP(D9,$B$3:$E$6,2,FALSE))</f>
        <v>Ненад Тиловски (129)</v>
      </c>
      <c r="F9" s="132">
        <v>11</v>
      </c>
      <c r="G9" s="133">
        <v>2</v>
      </c>
      <c r="H9" s="134">
        <v>11</v>
      </c>
      <c r="I9" s="133">
        <v>3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Давид Јоноски (287)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Лука Стојчев (73)</v>
      </c>
      <c r="D13" s="130">
        <v>2</v>
      </c>
      <c r="E13" s="131" t="str">
        <f>IF(C4="","",VLOOKUP(D13,$B$3:$E$6,2,FALSE))</f>
        <v>Давид Јоноски (287)</v>
      </c>
      <c r="F13" s="132">
        <v>11</v>
      </c>
      <c r="G13" s="133">
        <v>3</v>
      </c>
      <c r="H13" s="134">
        <v>8</v>
      </c>
      <c r="I13" s="133">
        <v>11</v>
      </c>
      <c r="J13" s="132">
        <v>11</v>
      </c>
      <c r="K13" s="135">
        <v>6</v>
      </c>
      <c r="L13" s="134">
        <v>11</v>
      </c>
      <c r="M13" s="133">
        <v>5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Ненад Тиловски (129)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Лука Стојчев (73)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Ненад Тиловски (129)</v>
      </c>
      <c r="D18" s="140">
        <v>2</v>
      </c>
      <c r="E18" s="141" t="str">
        <f>IF(C4="","",VLOOKUP(D18,$B$3:$E$6,2,FALSE))</f>
        <v>Давид Јоноски (287)</v>
      </c>
      <c r="F18" s="142">
        <v>7</v>
      </c>
      <c r="G18" s="143">
        <v>11</v>
      </c>
      <c r="H18" s="144">
        <v>8</v>
      </c>
      <c r="I18" s="143">
        <v>11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M18" sqref="M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Нико Доага (190)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IF(GROUPS!F4="","",GROUPS!F4)</f>
        <v>Нико Доага (190)</v>
      </c>
      <c r="D3" s="381"/>
      <c r="E3" s="382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24</v>
      </c>
      <c r="R3" s="383">
        <f>IF(ISERROR(IF(AND(T9="",T13="",T17=""),"",SUM(AB3:AD3)+(N3-O3)/1000)+(AK3/10000)),"",IF(AND(T9="",T13="",T17=""),"",SUM(AB3:AD3)+(N3-O3)/1000)+(AK3/10000)+(AG3/100000))</f>
        <v>4.0108600000000001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Вања Спасиќ (448)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4">
        <f>SUM(AH3:AJ3)-SUM(AM3:AO3)</f>
        <v>42</v>
      </c>
      <c r="AL3" s="385"/>
      <c r="AM3" s="10">
        <f>AH5</f>
        <v>11</v>
      </c>
      <c r="AN3" s="10">
        <f>AI4</f>
        <v>13</v>
      </c>
      <c r="AO3" s="10">
        <f>AJ6</f>
        <v>0</v>
      </c>
      <c r="AP3" s="9">
        <f>SUM(AM3:AO3)</f>
        <v>24</v>
      </c>
    </row>
    <row r="4" spans="2:47" ht="24" customHeight="1">
      <c r="B4" s="101">
        <v>2</v>
      </c>
      <c r="C4" s="380" t="str">
        <f>IF(GROUPS!F5="","",GROUPS!F5)</f>
        <v>Антонио Аврамски (144)</v>
      </c>
      <c r="D4" s="381"/>
      <c r="E4" s="382"/>
      <c r="F4" s="113">
        <f>U13</f>
        <v>0</v>
      </c>
      <c r="G4" s="106">
        <f>T13</f>
        <v>3</v>
      </c>
      <c r="H4" s="114"/>
      <c r="I4" s="103"/>
      <c r="J4" s="104">
        <f>U18</f>
        <v>1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1</v>
      </c>
      <c r="O4" s="109">
        <f>IF(AND(T10="",U13="",U18=""),"",SUM(G4,K4,M4))</f>
        <v>6</v>
      </c>
      <c r="P4" s="110">
        <f>IF(AND(T10="",U13="",U18=""),"",AG4)</f>
        <v>41</v>
      </c>
      <c r="Q4" s="111">
        <f>IF(AND(T10="",U13="",U18=""),"",AP4)</f>
        <v>75</v>
      </c>
      <c r="R4" s="383">
        <f>IF(ISERROR(IF(AND(T10="",U13="",U18=""),"",SUM(AB4:AD4)+(N4-O4)/1000)+(AK4/10000)+(AG4/100000)),"",IF(AND(T10="",U13="",U18=""),"",SUM(AB4:AD4)+(N4-O4)/1000)+(AK4/10000)+(AG4/100000))</f>
        <v>1.9920100000000001</v>
      </c>
      <c r="S4" s="383"/>
      <c r="T4" s="112">
        <f>IF(ISERROR(IF(C4="","",RANK(R4,$R$3:$S$6,0))),"",IF(C4="","",RANK(R4,$R$3:$S$6,0)))</f>
        <v>3</v>
      </c>
      <c r="U4" s="9"/>
      <c r="V4" s="9"/>
      <c r="W4" s="7">
        <v>3</v>
      </c>
      <c r="X4" s="386" t="str">
        <f t="shared" si="0"/>
        <v>Антонио Аврамски (144)</v>
      </c>
      <c r="Y4" s="387"/>
      <c r="Z4" s="388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41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28</v>
      </c>
      <c r="AK4" s="384">
        <f t="shared" ref="AK4:AK6" si="2">SUM(AH4:AJ4)-SUM(AM4:AO4)</f>
        <v>-34</v>
      </c>
      <c r="AL4" s="385"/>
      <c r="AM4" s="10">
        <f>AH6</f>
        <v>0</v>
      </c>
      <c r="AN4" s="10">
        <f>AI3</f>
        <v>33</v>
      </c>
      <c r="AO4" s="10">
        <f>AJ5</f>
        <v>42</v>
      </c>
      <c r="AP4" s="9">
        <f t="shared" ref="AP4:AP6" si="3">SUM(AM4:AO4)</f>
        <v>75</v>
      </c>
    </row>
    <row r="5" spans="2:47" ht="24" customHeight="1">
      <c r="B5" s="101">
        <v>3</v>
      </c>
      <c r="C5" s="380" t="str">
        <f>IF(GROUPS!F6="","",GROUPS!F6)</f>
        <v>Вања Спасиќ (448)</v>
      </c>
      <c r="D5" s="381"/>
      <c r="E5" s="382"/>
      <c r="F5" s="113">
        <f>U9</f>
        <v>0</v>
      </c>
      <c r="G5" s="106">
        <f>T9</f>
        <v>3</v>
      </c>
      <c r="H5" s="104">
        <f>T18</f>
        <v>3</v>
      </c>
      <c r="I5" s="106">
        <f>U18</f>
        <v>1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4</v>
      </c>
      <c r="P5" s="110">
        <f>IF(AND(U9="",T14="",T18=""),"",AG5)</f>
        <v>53</v>
      </c>
      <c r="Q5" s="111">
        <f>IF(AND(U9="",T14="",T18=""),"",AP5)</f>
        <v>61</v>
      </c>
      <c r="R5" s="383">
        <f>IF(ISERROR(IF(AND(U9="",T14="",T18=""),"",SUM(AB5:AD5)+(N5-O5)/1000)+(AK5/10000)+(AG5/100000)),"",IF(AND(U9="",T14="",T18=""),"",SUM(AB5:AD5)+(N5-O5)/1000)+(AK5/10000)+(AG5/100000))</f>
        <v>2.9987300000000001</v>
      </c>
      <c r="S5" s="383"/>
      <c r="T5" s="112">
        <f>IF(ISERROR(IF(C5="","",RANK(R5,$R$3:$S$6,0))),"",IF(C5="","",RANK(R5,$R$3:$S$6,0)))</f>
        <v>2</v>
      </c>
      <c r="U5" s="9"/>
      <c r="V5" s="9"/>
      <c r="W5" s="7">
        <v>4</v>
      </c>
      <c r="X5" s="386" t="str">
        <f t="shared" si="0"/>
        <v/>
      </c>
      <c r="Y5" s="387"/>
      <c r="Z5" s="388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53</v>
      </c>
      <c r="AH5" s="10">
        <f>G9+I9+K9+M9+O9+Q9+S9</f>
        <v>11</v>
      </c>
      <c r="AI5" s="10">
        <f>F14+H14+J14+L14+N14+P14+R14</f>
        <v>0</v>
      </c>
      <c r="AJ5" s="10">
        <f>F18+H18+J18+L18+N18+P18+R18</f>
        <v>42</v>
      </c>
      <c r="AK5" s="384">
        <f t="shared" si="2"/>
        <v>-8</v>
      </c>
      <c r="AL5" s="385"/>
      <c r="AM5" s="10">
        <f>AH3</f>
        <v>33</v>
      </c>
      <c r="AN5" s="10">
        <f>AI6</f>
        <v>0</v>
      </c>
      <c r="AO5" s="10">
        <f>AJ4</f>
        <v>28</v>
      </c>
      <c r="AP5" s="9">
        <f t="shared" si="3"/>
        <v>61</v>
      </c>
    </row>
    <row r="6" spans="2:47" ht="24" customHeight="1" thickBot="1">
      <c r="B6" s="116">
        <v>4</v>
      </c>
      <c r="C6" s="389" t="str">
        <f>IF(GROUPS!F7="","",GROUPS!F7)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160</v>
      </c>
      <c r="Q7" s="127">
        <f>SUM(Q3:Q6)</f>
        <v>160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Нико Доага (190)</v>
      </c>
      <c r="D9" s="130">
        <v>3</v>
      </c>
      <c r="E9" s="131" t="str">
        <f>IF(C5="","",VLOOKUP(D9,$B$3:$E$6,2,FALSE))</f>
        <v>Вања Спасиќ (448)</v>
      </c>
      <c r="F9" s="132">
        <v>11</v>
      </c>
      <c r="G9" s="133">
        <v>3</v>
      </c>
      <c r="H9" s="134">
        <v>11</v>
      </c>
      <c r="I9" s="133">
        <v>4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Антонио Аврамски (144)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Нико Доага (190)</v>
      </c>
      <c r="D13" s="130">
        <v>2</v>
      </c>
      <c r="E13" s="131" t="str">
        <f>IF(C4="","",VLOOKUP(D13,$B$3:$E$6,2,FALSE))</f>
        <v>Антонио Аврамски (144)</v>
      </c>
      <c r="F13" s="132">
        <v>11</v>
      </c>
      <c r="G13" s="133">
        <v>1</v>
      </c>
      <c r="H13" s="134">
        <v>11</v>
      </c>
      <c r="I13" s="133">
        <v>7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Вања Спасиќ (448)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Нико Доага (190)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Вања Спасиќ (448)</v>
      </c>
      <c r="D18" s="140">
        <v>2</v>
      </c>
      <c r="E18" s="141" t="str">
        <f>IF(C4="","",VLOOKUP(D18,$B$3:$E$6,2,FALSE))</f>
        <v>Антонио Аврамски (144)</v>
      </c>
      <c r="F18" s="142">
        <v>11</v>
      </c>
      <c r="G18" s="143">
        <v>6</v>
      </c>
      <c r="H18" s="144">
        <v>9</v>
      </c>
      <c r="I18" s="143">
        <v>11</v>
      </c>
      <c r="J18" s="142">
        <v>11</v>
      </c>
      <c r="K18" s="145">
        <v>5</v>
      </c>
      <c r="L18" s="144">
        <v>11</v>
      </c>
      <c r="M18" s="143">
        <v>6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N19" sqref="N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61" t="s">
        <v>0</v>
      </c>
      <c r="C1" s="361"/>
      <c r="D1" s="361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3" t="s">
        <v>3</v>
      </c>
      <c r="D2" s="364"/>
      <c r="E2" s="365"/>
      <c r="F2" s="366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Александар Јакимовски (178)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101">
        <v>1</v>
      </c>
      <c r="C3" s="380" t="str">
        <f>IF(GROUPS!H4="","",GROUPS!H4)</f>
        <v>Александар Јакимовски (178)</v>
      </c>
      <c r="D3" s="381"/>
      <c r="E3" s="382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75</v>
      </c>
      <c r="Q3" s="111">
        <f>IF(AND(T9="",T13="",T17=""),"",AP3)</f>
        <v>31</v>
      </c>
      <c r="R3" s="383">
        <f>IF(ISERROR(IF(AND(T9="",T13="",T17=""),"",SUM(AB3:AD3)+(N3-O3)/1000)+(AK3/10000)),"",IF(AND(T9="",T13="",T17=""),"",SUM(AB3:AD3)+(N3-O3)/1000)+(AK3/10000)+(AG3/100000))</f>
        <v>4.0101500000000003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Кристијан Каламадевски (347)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75</v>
      </c>
      <c r="AH3" s="10">
        <f>F9+H9+J9+L9+N9+P9+R9</f>
        <v>33</v>
      </c>
      <c r="AI3" s="10">
        <f>F13+H13+J13+L13+N13+P13+R13</f>
        <v>42</v>
      </c>
      <c r="AJ3" s="10">
        <f>F17+H17+J17+L17+N17+P17+R17</f>
        <v>0</v>
      </c>
      <c r="AK3" s="384">
        <f>SUM(AH3:AJ3)-SUM(AM3:AO3)</f>
        <v>44</v>
      </c>
      <c r="AL3" s="385"/>
      <c r="AM3" s="10">
        <f>AH5</f>
        <v>13</v>
      </c>
      <c r="AN3" s="10">
        <f>AI4</f>
        <v>18</v>
      </c>
      <c r="AO3" s="10">
        <f>AJ6</f>
        <v>0</v>
      </c>
      <c r="AP3" s="9">
        <f>SUM(AM3:AO3)</f>
        <v>31</v>
      </c>
    </row>
    <row r="4" spans="2:47" ht="24" customHeight="1">
      <c r="B4" s="101">
        <v>2</v>
      </c>
      <c r="C4" s="380" t="str">
        <f>IF(GROUPS!H5="","",GROUPS!H5)</f>
        <v>Кристијан Каламадевски (347)</v>
      </c>
      <c r="D4" s="381"/>
      <c r="E4" s="382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4</v>
      </c>
      <c r="O4" s="109">
        <f>IF(AND(T10="",U13="",U18=""),"",SUM(G4,K4,M4))</f>
        <v>4</v>
      </c>
      <c r="P4" s="110">
        <f>IF(AND(T10="",U13="",U18=""),"",AG4)</f>
        <v>53</v>
      </c>
      <c r="Q4" s="111">
        <f>IF(AND(T10="",U13="",U18=""),"",AP4)</f>
        <v>74</v>
      </c>
      <c r="R4" s="383">
        <f>IF(ISERROR(IF(AND(T10="",U13="",U18=""),"",SUM(AB4:AD4)+(N4-O4)/1000)+(AK4/10000)+(AG4/100000)),"",IF(AND(T10="",U13="",U18=""),"",SUM(AB4:AD4)+(N4-O4)/1000)+(AK4/10000)+(AG4/100000))</f>
        <v>2.9984299999999999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Марко Китановски (500)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53</v>
      </c>
      <c r="AH4" s="10">
        <f>F10+H10+J10+L10+N10+P10+R10</f>
        <v>0</v>
      </c>
      <c r="AI4" s="10">
        <f>G13+I13+K13+M13+O13+Q13+S13</f>
        <v>18</v>
      </c>
      <c r="AJ4" s="10">
        <f>G18+I18+K18+M18+O18+Q18+S18</f>
        <v>35</v>
      </c>
      <c r="AK4" s="384">
        <f t="shared" ref="AK4:AK6" si="2">SUM(AH4:AJ4)-SUM(AM4:AO4)</f>
        <v>-21</v>
      </c>
      <c r="AL4" s="385"/>
      <c r="AM4" s="10">
        <f>AH6</f>
        <v>0</v>
      </c>
      <c r="AN4" s="10">
        <f>AI3</f>
        <v>42</v>
      </c>
      <c r="AO4" s="10">
        <f>AJ5</f>
        <v>32</v>
      </c>
      <c r="AP4" s="9">
        <f t="shared" ref="AP4:AP6" si="3">SUM(AM4:AO4)</f>
        <v>74</v>
      </c>
    </row>
    <row r="5" spans="2:47" ht="24" customHeight="1">
      <c r="B5" s="101">
        <v>3</v>
      </c>
      <c r="C5" s="380" t="str">
        <f>IF(GROUPS!H6="","",GROUPS!H6)</f>
        <v>Марко Китановски (500)</v>
      </c>
      <c r="D5" s="381"/>
      <c r="E5" s="382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45</v>
      </c>
      <c r="Q5" s="111">
        <f>IF(AND(U9="",T14="",T18=""),"",AP5)</f>
        <v>68</v>
      </c>
      <c r="R5" s="383">
        <f>IF(ISERROR(IF(AND(U9="",T14="",T18=""),"",SUM(AB5:AD5)+(N5-O5)/1000)+(AK5/10000)+(AG5/100000)),"",IF(AND(U9="",T14="",T18=""),"",SUM(AB5:AD5)+(N5-O5)/1000)+(AK5/10000)+(AG5/100000))</f>
        <v>1.9931500000000002</v>
      </c>
      <c r="S5" s="383"/>
      <c r="T5" s="112">
        <f>IF(ISERROR(IF(C5="","",RANK(R5,$R$3:$S$6,0))),"",IF(C5="","",RANK(R5,$R$3:$S$6,0)))</f>
        <v>3</v>
      </c>
      <c r="U5" s="9"/>
      <c r="V5" s="9"/>
      <c r="W5" s="7">
        <v>4</v>
      </c>
      <c r="X5" s="386" t="str">
        <f t="shared" si="0"/>
        <v/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45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32</v>
      </c>
      <c r="AK5" s="384">
        <f t="shared" si="2"/>
        <v>-23</v>
      </c>
      <c r="AL5" s="385"/>
      <c r="AM5" s="10">
        <f>AH3</f>
        <v>33</v>
      </c>
      <c r="AN5" s="10">
        <f>AI6</f>
        <v>0</v>
      </c>
      <c r="AO5" s="10">
        <f>AJ4</f>
        <v>35</v>
      </c>
      <c r="AP5" s="9">
        <f t="shared" si="3"/>
        <v>68</v>
      </c>
    </row>
    <row r="6" spans="2:47" ht="24" customHeight="1" thickBot="1">
      <c r="B6" s="116">
        <v>4</v>
      </c>
      <c r="C6" s="389" t="str">
        <f>IF(GROUPS!H7="","",GROUPS!H7)</f>
        <v/>
      </c>
      <c r="D6" s="390"/>
      <c r="E6" s="39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2" t="str">
        <f>IF(ISERROR(IF(AND(U10="",U14="",U17=""),"",SUM(AB6:AD6)+(N6-O6)/1000)+(AK6/10000)+(AG6/100000)),"",IF(AND(U10="",U14="",U17=""),"",SUM(AB6:AD6)+(N6-O6)/1000)+(AK6/10000)+(AG6/100000))</f>
        <v/>
      </c>
      <c r="S6" s="39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4">
        <f t="shared" si="2"/>
        <v>0</v>
      </c>
      <c r="AL6" s="385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173</v>
      </c>
      <c r="Q7" s="127">
        <f>SUM(Q3:Q6)</f>
        <v>173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Марко Китановски (500)</v>
      </c>
      <c r="F9" s="132">
        <v>11</v>
      </c>
      <c r="G9" s="133">
        <v>5</v>
      </c>
      <c r="H9" s="134">
        <v>11</v>
      </c>
      <c r="I9" s="133">
        <v>3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Кристијан Каламадевски (347)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Кристијан Каламадевски (347)</v>
      </c>
      <c r="F13" s="132">
        <v>11</v>
      </c>
      <c r="G13" s="133">
        <v>2</v>
      </c>
      <c r="H13" s="134">
        <v>11</v>
      </c>
      <c r="I13" s="133">
        <v>3</v>
      </c>
      <c r="J13" s="132">
        <v>9</v>
      </c>
      <c r="K13" s="135">
        <v>11</v>
      </c>
      <c r="L13" s="134">
        <v>11</v>
      </c>
      <c r="M13" s="133">
        <v>2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Китановски (500)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Китановски (500)</v>
      </c>
      <c r="D18" s="140">
        <v>2</v>
      </c>
      <c r="E18" s="141" t="str">
        <f>IF(C4="","",VLOOKUP(D18,$B$3:$E$6,2,FALSE))</f>
        <v>Кристијан Каламадевски (347)</v>
      </c>
      <c r="F18" s="142">
        <v>9</v>
      </c>
      <c r="G18" s="143">
        <v>11</v>
      </c>
      <c r="H18" s="144">
        <v>11</v>
      </c>
      <c r="I18" s="143">
        <v>2</v>
      </c>
      <c r="J18" s="142">
        <v>6</v>
      </c>
      <c r="K18" s="145">
        <v>11</v>
      </c>
      <c r="L18" s="144">
        <v>6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K19" sqref="K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Андреј Стојановски (47)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IF(GROUPS!J4="","",GROUPS!J4)</f>
        <v>Борис Секулов (130)</v>
      </c>
      <c r="D3" s="409"/>
      <c r="E3" s="410"/>
      <c r="F3" s="197"/>
      <c r="G3" s="103"/>
      <c r="H3" s="104">
        <f>T13</f>
        <v>1</v>
      </c>
      <c r="I3" s="105">
        <f>U13</f>
        <v>3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1</v>
      </c>
      <c r="N3" s="108">
        <f>IF(AND(T9="",T13="",T17=""),"",SUM(H3,J3,L3))</f>
        <v>7</v>
      </c>
      <c r="O3" s="109">
        <f>IF(AND(T9="",T13="",T17=""),"",SUM(I3,K3,M3))</f>
        <v>5</v>
      </c>
      <c r="P3" s="110">
        <f>IF(AND(T9="",T13="",T17=""),"",AG3)</f>
        <v>112</v>
      </c>
      <c r="Q3" s="111">
        <f>IF(AND(T9="",T13="",T17=""),"",AP3)</f>
        <v>108</v>
      </c>
      <c r="R3" s="383">
        <f>IF(ISERROR(IF(AND(T9="",T13="",T17=""),"",SUM(AB3:AD3)+(N3-O3)/1000)+(AK3/10000)),"",IF(AND(T9="",T13="",T17=""),"",SUM(AB3:AD3)+(N3-O3)/1000)+(AK3/10000)+(AG3/100000))</f>
        <v>5.00352</v>
      </c>
      <c r="S3" s="383"/>
      <c r="T3" s="112">
        <f>IF(ISERROR(IF(C3="","",RANK(R3,$R$3:$S$6,0))),"",IF(C3="","",RANK(R3,$R$3:$S$6,0)))</f>
        <v>2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Борис Секулов (130)</v>
      </c>
      <c r="Y3" s="376"/>
      <c r="Z3" s="377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112</v>
      </c>
      <c r="AH3" s="10">
        <f>F9+H9+J9+L9+N9+P9+R9</f>
        <v>42</v>
      </c>
      <c r="AI3" s="10">
        <f>F13+H13+J13+L13+N13+P13+R13</f>
        <v>26</v>
      </c>
      <c r="AJ3" s="10">
        <f>F17+H17+J17+L17+N17+P17+R17</f>
        <v>44</v>
      </c>
      <c r="AK3" s="384">
        <f>SUM(AH3:AJ3)-SUM(AM3:AO3)</f>
        <v>4</v>
      </c>
      <c r="AL3" s="385"/>
      <c r="AM3" s="10">
        <f>AH5</f>
        <v>30</v>
      </c>
      <c r="AN3" s="10">
        <f>AI4</f>
        <v>41</v>
      </c>
      <c r="AO3" s="10">
        <f>AJ6</f>
        <v>37</v>
      </c>
      <c r="AP3" s="9">
        <f>SUM(AM3:AO3)</f>
        <v>108</v>
      </c>
    </row>
    <row r="4" spans="2:47" ht="24" customHeight="1">
      <c r="B4" s="200">
        <v>2</v>
      </c>
      <c r="C4" s="409" t="str">
        <f>IF(GROUPS!J5="","",GROUPS!J5)</f>
        <v>Андреј Стојановски (47)</v>
      </c>
      <c r="D4" s="409"/>
      <c r="E4" s="410"/>
      <c r="F4" s="198">
        <f>U13</f>
        <v>3</v>
      </c>
      <c r="G4" s="106">
        <f>T13</f>
        <v>1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1</v>
      </c>
      <c r="P4" s="110">
        <f>IF(AND(T10="",U13="",U18=""),"",AG4)</f>
        <v>107</v>
      </c>
      <c r="Q4" s="111">
        <f>IF(AND(T10="",U13="",U18=""),"",AP4)</f>
        <v>68</v>
      </c>
      <c r="R4" s="383">
        <f>IF(ISERROR(IF(AND(T10="",U13="",U18=""),"",SUM(AB4:AD4)+(N4-O4)/1000)+(AK4/10000)+(AG4/100000)),"",IF(AND(T10="",U13="",U18=""),"",SUM(AB4:AD4)+(N4-O4)/1000)+(AK4/10000)+(AG4/100000))</f>
        <v>6.0129700000000001</v>
      </c>
      <c r="S4" s="383"/>
      <c r="T4" s="112">
        <f>IF(ISERROR(IF(C4="","",RANK(R4,$R$3:$S$6,0))),"",IF(C4="","",RANK(R4,$R$3:$S$6,0)))</f>
        <v>1</v>
      </c>
      <c r="U4" s="9"/>
      <c r="V4" s="9"/>
      <c r="W4" s="7">
        <v>3</v>
      </c>
      <c r="X4" s="386" t="str">
        <f t="shared" si="0"/>
        <v>Јаков Кузмановски (443)</v>
      </c>
      <c r="Y4" s="387"/>
      <c r="Z4" s="388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107</v>
      </c>
      <c r="AH4" s="10">
        <f>F10+H10+J10+L10+N10+P10+R10</f>
        <v>33</v>
      </c>
      <c r="AI4" s="10">
        <f>G13+I13+K13+M13+O13+Q13+S13</f>
        <v>41</v>
      </c>
      <c r="AJ4" s="10">
        <f>G18+I18+K18+M18+O18+Q18+S18</f>
        <v>33</v>
      </c>
      <c r="AK4" s="384">
        <f t="shared" ref="AK4:AK6" si="2">SUM(AH4:AJ4)-SUM(AM4:AO4)</f>
        <v>39</v>
      </c>
      <c r="AL4" s="385"/>
      <c r="AM4" s="10">
        <f>AH6</f>
        <v>25</v>
      </c>
      <c r="AN4" s="10">
        <f>AI3</f>
        <v>26</v>
      </c>
      <c r="AO4" s="10">
        <f>AJ5</f>
        <v>17</v>
      </c>
      <c r="AP4" s="9">
        <f t="shared" ref="AP4:AP6" si="3">SUM(AM4:AO4)</f>
        <v>68</v>
      </c>
    </row>
    <row r="5" spans="2:47" ht="24" customHeight="1">
      <c r="B5" s="200">
        <v>3</v>
      </c>
      <c r="C5" s="409" t="str">
        <f>IF(GROUPS!J6="","",GROUPS!J6)</f>
        <v>Дамјан Петровиќ (536)</v>
      </c>
      <c r="D5" s="409"/>
      <c r="E5" s="410"/>
      <c r="F5" s="198">
        <f>U9</f>
        <v>1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1</v>
      </c>
      <c r="M5" s="115">
        <f>U14</f>
        <v>3</v>
      </c>
      <c r="N5" s="108">
        <f>IF(AND(U9="",T14="",T18=""),"",SUM(F5,H5,L5))</f>
        <v>2</v>
      </c>
      <c r="O5" s="109">
        <f>IF(AND(U9="",T14="",T18=""),"",SUM(G5,I5,M5))</f>
        <v>9</v>
      </c>
      <c r="P5" s="110">
        <f>IF(AND(U9="",T14="",T18=""),"",AG5)</f>
        <v>79</v>
      </c>
      <c r="Q5" s="111">
        <f>IF(AND(U9="",T14="",T18=""),"",AP5)</f>
        <v>117</v>
      </c>
      <c r="R5" s="383">
        <f>IF(ISERROR(IF(AND(U9="",T14="",T18=""),"",SUM(AB5:AD5)+(N5-O5)/1000)+(AK5/10000)+(AG5/100000)),"",IF(AND(U9="",T14="",T18=""),"",SUM(AB5:AD5)+(N5-O5)/1000)+(AK5/10000)+(AG5/100000))</f>
        <v>2.9899899999999997</v>
      </c>
      <c r="S5" s="383"/>
      <c r="T5" s="112">
        <f>IF(ISERROR(IF(C5="","",RANK(R5,$R$3:$S$6,0))),"",IF(C5="","",RANK(R5,$R$3:$S$6,0)))</f>
        <v>4</v>
      </c>
      <c r="U5" s="9"/>
      <c r="V5" s="9"/>
      <c r="W5" s="7">
        <v>4</v>
      </c>
      <c r="X5" s="386" t="str">
        <f t="shared" si="0"/>
        <v>Дамјан Петровиќ (536)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79</v>
      </c>
      <c r="AH5" s="10">
        <f>G9+I9+K9+M9+O9+Q9+S9</f>
        <v>30</v>
      </c>
      <c r="AI5" s="10">
        <f>F14+H14+J14+L14+N14+P14+R14</f>
        <v>32</v>
      </c>
      <c r="AJ5" s="10">
        <f>F18+H18+J18+L18+N18+P18+R18</f>
        <v>17</v>
      </c>
      <c r="AK5" s="384">
        <f t="shared" si="2"/>
        <v>-38</v>
      </c>
      <c r="AL5" s="385"/>
      <c r="AM5" s="10">
        <f>AH3</f>
        <v>42</v>
      </c>
      <c r="AN5" s="10">
        <f>AI6</f>
        <v>42</v>
      </c>
      <c r="AO5" s="10">
        <f>AJ4</f>
        <v>33</v>
      </c>
      <c r="AP5" s="9">
        <f t="shared" si="3"/>
        <v>117</v>
      </c>
    </row>
    <row r="6" spans="2:47" ht="24" customHeight="1" thickBot="1">
      <c r="B6" s="201">
        <v>4</v>
      </c>
      <c r="C6" s="411" t="str">
        <f>IF(GROUPS!J7="","",GROUPS!J7)</f>
        <v>Јаков Кузмановски (443)</v>
      </c>
      <c r="D6" s="411"/>
      <c r="E6" s="412"/>
      <c r="F6" s="199">
        <f>U17</f>
        <v>1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1</v>
      </c>
      <c r="L6" s="120"/>
      <c r="M6" s="121"/>
      <c r="N6" s="122">
        <f>IF(AND(U10="",U14="",U17=""),"",SUM(F6,H6,J6))</f>
        <v>4</v>
      </c>
      <c r="O6" s="123">
        <f>IF(AND(U10="",U14="",U17=""),"",SUM(G6,I6,K6))</f>
        <v>7</v>
      </c>
      <c r="P6" s="124">
        <f>IF(AND(U10="",U14="",U17=""),"",AG6)</f>
        <v>104</v>
      </c>
      <c r="Q6" s="125">
        <f>IF(AND(U10="",U14="",U17=""),"",AP6)</f>
        <v>109</v>
      </c>
      <c r="R6" s="392">
        <f>IF(ISERROR(IF(AND(U10="",U14="",U17=""),"",SUM(AB6:AD6)+(N6-O6)/1000)+(AK6/10000)+(AG6/100000)),"",IF(AND(U10="",U14="",U17=""),"",SUM(AB6:AD6)+(N6-O6)/1000)+(AK6/10000)+(AG6/100000))</f>
        <v>3.9975399999999999</v>
      </c>
      <c r="S6" s="392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104</v>
      </c>
      <c r="AH6" s="10">
        <f>G10+I10+K10+M10+O10+Q10+S10</f>
        <v>25</v>
      </c>
      <c r="AI6" s="10">
        <f>G14+I14+K14+M14+O14+Q14+S14</f>
        <v>42</v>
      </c>
      <c r="AJ6" s="10">
        <f>G17+I17+K17+M17+O17+Q17+S17</f>
        <v>37</v>
      </c>
      <c r="AK6" s="384">
        <f t="shared" si="2"/>
        <v>-5</v>
      </c>
      <c r="AL6" s="385"/>
      <c r="AM6" s="10">
        <f>AH4</f>
        <v>33</v>
      </c>
      <c r="AN6" s="10">
        <f>AI5</f>
        <v>32</v>
      </c>
      <c r="AO6" s="10">
        <f>AJ3</f>
        <v>44</v>
      </c>
      <c r="AP6" s="9">
        <f t="shared" si="3"/>
        <v>109</v>
      </c>
    </row>
    <row r="7" spans="2:47" ht="18.600000000000001" thickBot="1">
      <c r="P7" s="127">
        <f>SUM(P3:P6)</f>
        <v>402</v>
      </c>
      <c r="Q7" s="127">
        <f>SUM(Q3:Q6)</f>
        <v>402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Борис Секулов (130)</v>
      </c>
      <c r="D9" s="130">
        <v>3</v>
      </c>
      <c r="E9" s="131" t="str">
        <f>IF(C5="","",VLOOKUP(D9,$B$3:$E$6,2,FALSE))</f>
        <v>Дамјан Петровиќ (536)</v>
      </c>
      <c r="F9" s="132">
        <v>11</v>
      </c>
      <c r="G9" s="133">
        <v>7</v>
      </c>
      <c r="H9" s="134">
        <v>11</v>
      </c>
      <c r="I9" s="133">
        <v>7</v>
      </c>
      <c r="J9" s="132">
        <v>9</v>
      </c>
      <c r="K9" s="135">
        <v>11</v>
      </c>
      <c r="L9" s="134">
        <v>11</v>
      </c>
      <c r="M9" s="133">
        <v>5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Андреј Стојановски (47)</v>
      </c>
      <c r="D10" s="140">
        <v>4</v>
      </c>
      <c r="E10" s="141" t="str">
        <f>IF(C6="","",VLOOKUP(D10,$B$3:$E$6,2,FALSE))</f>
        <v>Јаков Кузмановски (443)</v>
      </c>
      <c r="F10" s="142">
        <v>11</v>
      </c>
      <c r="G10" s="143">
        <v>8</v>
      </c>
      <c r="H10" s="144">
        <v>11</v>
      </c>
      <c r="I10" s="143">
        <v>9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Борис Секулов (130)</v>
      </c>
      <c r="D13" s="130">
        <v>2</v>
      </c>
      <c r="E13" s="131" t="str">
        <f>IF(C4="","",VLOOKUP(D13,$B$3:$E$6,2,FALSE))</f>
        <v>Андреј Стојановски (47)</v>
      </c>
      <c r="F13" s="132">
        <v>5</v>
      </c>
      <c r="G13" s="133">
        <v>11</v>
      </c>
      <c r="H13" s="134">
        <v>7</v>
      </c>
      <c r="I13" s="133">
        <v>11</v>
      </c>
      <c r="J13" s="132">
        <v>11</v>
      </c>
      <c r="K13" s="135">
        <v>8</v>
      </c>
      <c r="L13" s="134">
        <v>3</v>
      </c>
      <c r="M13" s="133">
        <v>11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1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Дамјан Петровиќ (536)</v>
      </c>
      <c r="D14" s="140">
        <v>4</v>
      </c>
      <c r="E14" s="141" t="str">
        <f>IF(C6="","",VLOOKUP(D14,$B$3:$E$6,2,FALSE))</f>
        <v>Јаков Кузмановски (443)</v>
      </c>
      <c r="F14" s="142">
        <v>7</v>
      </c>
      <c r="G14" s="143">
        <v>11</v>
      </c>
      <c r="H14" s="144">
        <v>7</v>
      </c>
      <c r="I14" s="143">
        <v>11</v>
      </c>
      <c r="J14" s="142">
        <v>11</v>
      </c>
      <c r="K14" s="145">
        <v>9</v>
      </c>
      <c r="L14" s="144">
        <v>7</v>
      </c>
      <c r="M14" s="143">
        <v>11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1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Борис Секулов (130)</v>
      </c>
      <c r="D17" s="130">
        <v>4</v>
      </c>
      <c r="E17" s="131" t="str">
        <f>IF(C6="","",VLOOKUP(D17,$B$3:$E$6,2,FALSE))</f>
        <v>Јаков Кузмановски (443)</v>
      </c>
      <c r="F17" s="132">
        <v>9</v>
      </c>
      <c r="G17" s="133">
        <v>11</v>
      </c>
      <c r="H17" s="134">
        <v>11</v>
      </c>
      <c r="I17" s="133">
        <v>9</v>
      </c>
      <c r="J17" s="132">
        <v>11</v>
      </c>
      <c r="K17" s="135">
        <v>6</v>
      </c>
      <c r="L17" s="134">
        <v>13</v>
      </c>
      <c r="M17" s="133">
        <v>11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Дамјан Петровиќ (536)</v>
      </c>
      <c r="D18" s="140">
        <v>2</v>
      </c>
      <c r="E18" s="141" t="str">
        <f>IF(C4="","",VLOOKUP(D18,$B$3:$E$6,2,FALSE))</f>
        <v>Андреј Стојановски (47)</v>
      </c>
      <c r="F18" s="142">
        <v>4</v>
      </c>
      <c r="G18" s="143">
        <v>11</v>
      </c>
      <c r="H18" s="144">
        <v>5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K15" sqref="K1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3" t="s">
        <v>0</v>
      </c>
      <c r="C1" s="413"/>
      <c r="D1" s="413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2" t="s">
        <v>1</v>
      </c>
      <c r="R1" s="362"/>
      <c r="S1" s="362"/>
      <c r="T1" s="362"/>
      <c r="U1" s="362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4" t="s">
        <v>3</v>
      </c>
      <c r="D2" s="414"/>
      <c r="E2" s="415"/>
      <c r="F2" s="369">
        <v>1</v>
      </c>
      <c r="G2" s="367"/>
      <c r="H2" s="368">
        <v>2</v>
      </c>
      <c r="I2" s="367"/>
      <c r="J2" s="368">
        <v>3</v>
      </c>
      <c r="K2" s="367"/>
      <c r="L2" s="368">
        <v>4</v>
      </c>
      <c r="M2" s="369"/>
      <c r="N2" s="370" t="s">
        <v>4</v>
      </c>
      <c r="O2" s="371"/>
      <c r="P2" s="372" t="s">
        <v>84</v>
      </c>
      <c r="Q2" s="373"/>
      <c r="R2" s="374" t="s">
        <v>5</v>
      </c>
      <c r="S2" s="374"/>
      <c r="T2" s="100" t="s">
        <v>6</v>
      </c>
      <c r="W2" s="7">
        <v>1</v>
      </c>
      <c r="X2" s="375" t="str">
        <f>IF(ISERROR(INDEX($C$3:$C$6,MATCH(W2,$T$3:$T$6,0))),"",(INDEX($C$3:$C$6,MATCH(W2,$T$3:$T$6,0))))</f>
        <v>Филип Ангела (299)</v>
      </c>
      <c r="Y2" s="376"/>
      <c r="Z2" s="377"/>
      <c r="AB2" s="378" t="s">
        <v>85</v>
      </c>
      <c r="AC2" s="378"/>
      <c r="AD2" s="378"/>
      <c r="AE2" s="378"/>
      <c r="AG2" s="6" t="s">
        <v>86</v>
      </c>
      <c r="AK2" s="379" t="s">
        <v>87</v>
      </c>
      <c r="AL2" s="379"/>
      <c r="AP2" s="6" t="s">
        <v>88</v>
      </c>
    </row>
    <row r="3" spans="2:47" ht="24" customHeight="1">
      <c r="B3" s="200">
        <v>1</v>
      </c>
      <c r="C3" s="409" t="str">
        <f>IF(GROUPS!D9="","",GROUPS!D9)</f>
        <v>Филип Ангела (299)</v>
      </c>
      <c r="D3" s="409"/>
      <c r="E3" s="410"/>
      <c r="F3" s="197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2</v>
      </c>
      <c r="N3" s="108">
        <f>IF(AND(T9="",T13="",T17=""),"",SUM(H3,J3,L3))</f>
        <v>9</v>
      </c>
      <c r="O3" s="109">
        <f>IF(AND(T9="",T13="",T17=""),"",SUM(I3,K3,M3))</f>
        <v>4</v>
      </c>
      <c r="P3" s="110">
        <f>IF(AND(T9="",T13="",T17=""),"",AG3)</f>
        <v>133</v>
      </c>
      <c r="Q3" s="111">
        <f>IF(AND(T9="",T13="",T17=""),"",AP3)</f>
        <v>113</v>
      </c>
      <c r="R3" s="383">
        <f>IF(ISERROR(IF(AND(T9="",T13="",T17=""),"",SUM(AB3:AD3)+(N3-O3)/1000)+(AK3/10000)),"",IF(AND(T9="",T13="",T17=""),"",SUM(AB3:AD3)+(N3-O3)/1000)+(AK3/10000)+(AG3/100000))</f>
        <v>6.0083299999999999</v>
      </c>
      <c r="S3" s="383"/>
      <c r="T3" s="112">
        <f>IF(ISERROR(IF(C3="","",RANK(R3,$R$3:$S$6,0))),"",IF(C3="","",RANK(R3,$R$3:$S$6,0)))</f>
        <v>1</v>
      </c>
      <c r="U3" s="9"/>
      <c r="V3" s="9"/>
      <c r="W3" s="7">
        <v>2</v>
      </c>
      <c r="X3" s="375" t="str">
        <f t="shared" ref="X3:X5" si="0">IF(ISERROR(INDEX($C$3:$C$6,MATCH(W3,$T$3:$T$6,0))),"",(INDEX($C$3:$C$6,MATCH(W3,$T$3:$T$6,0))))</f>
        <v>Љупчо Треновски (404)</v>
      </c>
      <c r="Y3" s="376"/>
      <c r="Z3" s="377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133</v>
      </c>
      <c r="AH3" s="10">
        <f>F9+H9+J9+L9+N9+P9+R9</f>
        <v>34</v>
      </c>
      <c r="AI3" s="10">
        <f>F13+H13+J13+L13+N13+P13+R13</f>
        <v>50</v>
      </c>
      <c r="AJ3" s="10">
        <f>F17+H17+J17+L17+N17+P17+R17</f>
        <v>49</v>
      </c>
      <c r="AK3" s="384">
        <f>SUM(AH3:AJ3)-SUM(AM3:AO3)</f>
        <v>20</v>
      </c>
      <c r="AL3" s="385"/>
      <c r="AM3" s="10">
        <f>AH5</f>
        <v>26</v>
      </c>
      <c r="AN3" s="10">
        <f>AI4</f>
        <v>48</v>
      </c>
      <c r="AO3" s="10">
        <f>AJ6</f>
        <v>39</v>
      </c>
      <c r="AP3" s="9">
        <f>SUM(AM3:AO3)</f>
        <v>113</v>
      </c>
    </row>
    <row r="4" spans="2:47" ht="24" customHeight="1">
      <c r="B4" s="200">
        <v>2</v>
      </c>
      <c r="C4" s="409" t="str">
        <f>IF(GROUPS!D10="","",GROUPS!D10)</f>
        <v>Љупчо Треновски (404)</v>
      </c>
      <c r="D4" s="409"/>
      <c r="E4" s="410"/>
      <c r="F4" s="198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2</v>
      </c>
      <c r="N4" s="108">
        <f>IF(AND(T10="",U13="",U18=""),"",SUM(F4,J4,L4))</f>
        <v>8</v>
      </c>
      <c r="O4" s="109">
        <f>IF(AND(T10="",U13="",U18=""),"",SUM(G4,K4,M4))</f>
        <v>5</v>
      </c>
      <c r="P4" s="110">
        <f>IF(AND(T10="",U13="",U18=""),"",AG4)</f>
        <v>130</v>
      </c>
      <c r="Q4" s="111">
        <f>IF(AND(T10="",U13="",U18=""),"",AP4)</f>
        <v>108</v>
      </c>
      <c r="R4" s="383">
        <f>IF(ISERROR(IF(AND(T10="",U13="",U18=""),"",SUM(AB4:AD4)+(N4-O4)/1000)+(AK4/10000)+(AG4/100000)),"",IF(AND(T10="",U13="",U18=""),"",SUM(AB4:AD4)+(N4-O4)/1000)+(AK4/10000)+(AG4/100000))</f>
        <v>5.0065</v>
      </c>
      <c r="S4" s="383"/>
      <c r="T4" s="112">
        <f>IF(ISERROR(IF(C4="","",RANK(R4,$R$3:$S$6,0))),"",IF(C4="","",RANK(R4,$R$3:$S$6,0)))</f>
        <v>2</v>
      </c>
      <c r="U4" s="9"/>
      <c r="V4" s="9"/>
      <c r="W4" s="7">
        <v>3</v>
      </c>
      <c r="X4" s="386" t="str">
        <f t="shared" si="0"/>
        <v>Јаков Јакимовски (538)</v>
      </c>
      <c r="Y4" s="387"/>
      <c r="Z4" s="388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130</v>
      </c>
      <c r="AH4" s="10">
        <f>F10+H10+J10+L10+N10+P10+R10</f>
        <v>49</v>
      </c>
      <c r="AI4" s="10">
        <f>G13+I13+K13+M13+O13+Q13+S13</f>
        <v>48</v>
      </c>
      <c r="AJ4" s="10">
        <f>G18+I18+K18+M18+O18+Q18+S18</f>
        <v>33</v>
      </c>
      <c r="AK4" s="384">
        <f t="shared" ref="AK4:AK6" si="2">SUM(AH4:AJ4)-SUM(AM4:AO4)</f>
        <v>22</v>
      </c>
      <c r="AL4" s="385"/>
      <c r="AM4" s="10">
        <f>AH6</f>
        <v>46</v>
      </c>
      <c r="AN4" s="10">
        <f>AI3</f>
        <v>50</v>
      </c>
      <c r="AO4" s="10">
        <f>AJ5</f>
        <v>12</v>
      </c>
      <c r="AP4" s="9">
        <f t="shared" ref="AP4:AP6" si="3">SUM(AM4:AO4)</f>
        <v>108</v>
      </c>
    </row>
    <row r="5" spans="2:47" ht="24" customHeight="1">
      <c r="B5" s="200">
        <v>3</v>
      </c>
      <c r="C5" s="409" t="str">
        <f>IF(GROUPS!D11="","",GROUPS!D11)</f>
        <v>Петар Јуришиќ (361)</v>
      </c>
      <c r="D5" s="409"/>
      <c r="E5" s="410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49</v>
      </c>
      <c r="Q5" s="111">
        <f>IF(AND(U9="",T14="",T18=""),"",AP5)</f>
        <v>100</v>
      </c>
      <c r="R5" s="383">
        <f>IF(ISERROR(IF(AND(U9="",T14="",T18=""),"",SUM(AB5:AD5)+(N5-O5)/1000)+(AK5/10000)+(AG5/100000)),"",IF(AND(U9="",T14="",T18=""),"",SUM(AB5:AD5)+(N5-O5)/1000)+(AK5/10000)+(AG5/100000))</f>
        <v>2.9863900000000001</v>
      </c>
      <c r="S5" s="383"/>
      <c r="T5" s="112">
        <f>IF(ISERROR(IF(C5="","",RANK(R5,$R$3:$S$6,0))),"",IF(C5="","",RANK(R5,$R$3:$S$6,0)))</f>
        <v>4</v>
      </c>
      <c r="U5" s="9"/>
      <c r="V5" s="9"/>
      <c r="W5" s="7">
        <v>4</v>
      </c>
      <c r="X5" s="386" t="str">
        <f t="shared" si="0"/>
        <v>Петар Јуришиќ (361)</v>
      </c>
      <c r="Y5" s="387"/>
      <c r="Z5" s="388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49</v>
      </c>
      <c r="AH5" s="10">
        <f>G9+I9+K9+M9+O9+Q9+S9</f>
        <v>26</v>
      </c>
      <c r="AI5" s="10">
        <f>F14+H14+J14+L14+N14+P14+R14</f>
        <v>11</v>
      </c>
      <c r="AJ5" s="10">
        <f>F18+H18+J18+L18+N18+P18+R18</f>
        <v>12</v>
      </c>
      <c r="AK5" s="384">
        <f t="shared" si="2"/>
        <v>-51</v>
      </c>
      <c r="AL5" s="385"/>
      <c r="AM5" s="10">
        <f>AH3</f>
        <v>34</v>
      </c>
      <c r="AN5" s="10">
        <f>AI6</f>
        <v>33</v>
      </c>
      <c r="AO5" s="10">
        <f>AJ4</f>
        <v>33</v>
      </c>
      <c r="AP5" s="9">
        <f t="shared" si="3"/>
        <v>100</v>
      </c>
    </row>
    <row r="6" spans="2:47" ht="24" customHeight="1" thickBot="1">
      <c r="B6" s="201">
        <v>4</v>
      </c>
      <c r="C6" s="411" t="str">
        <f>IF(GROUPS!D12="","",GROUPS!D12)</f>
        <v>Јаков Јакимовски (538)</v>
      </c>
      <c r="D6" s="411"/>
      <c r="E6" s="412"/>
      <c r="F6" s="199">
        <f>U17</f>
        <v>2</v>
      </c>
      <c r="G6" s="118">
        <f>T17</f>
        <v>3</v>
      </c>
      <c r="H6" s="119">
        <f>U10</f>
        <v>2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7</v>
      </c>
      <c r="O6" s="123">
        <f>IF(AND(U10="",U14="",U17=""),"",SUM(G6,I6,K6))</f>
        <v>6</v>
      </c>
      <c r="P6" s="124">
        <f>IF(AND(U10="",U14="",U17=""),"",AG6)</f>
        <v>118</v>
      </c>
      <c r="Q6" s="125">
        <f>IF(AND(U10="",U14="",U17=""),"",AP6)</f>
        <v>109</v>
      </c>
      <c r="R6" s="392">
        <f>IF(ISERROR(IF(AND(U10="",U14="",U17=""),"",SUM(AB6:AD6)+(N6-O6)/1000)+(AK6/10000)+(AG6/100000)),"",IF(AND(U10="",U14="",U17=""),"",SUM(AB6:AD6)+(N6-O6)/1000)+(AK6/10000)+(AG6/100000))</f>
        <v>4.0030799999999997</v>
      </c>
      <c r="S6" s="392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118</v>
      </c>
      <c r="AH6" s="10">
        <f>G10+I10+K10+M10+O10+Q10+S10</f>
        <v>46</v>
      </c>
      <c r="AI6" s="10">
        <f>G14+I14+K14+M14+O14+Q14+S14</f>
        <v>33</v>
      </c>
      <c r="AJ6" s="10">
        <f>G17+I17+K17+M17+O17+Q17+S17</f>
        <v>39</v>
      </c>
      <c r="AK6" s="384">
        <f t="shared" si="2"/>
        <v>9</v>
      </c>
      <c r="AL6" s="385"/>
      <c r="AM6" s="10">
        <f>AH4</f>
        <v>49</v>
      </c>
      <c r="AN6" s="10">
        <f>AI5</f>
        <v>11</v>
      </c>
      <c r="AO6" s="10">
        <f>AJ3</f>
        <v>49</v>
      </c>
      <c r="AP6" s="9">
        <f t="shared" si="3"/>
        <v>109</v>
      </c>
    </row>
    <row r="7" spans="2:47" ht="18.600000000000001" thickBot="1">
      <c r="P7" s="127">
        <f>SUM(P3:P6)</f>
        <v>430</v>
      </c>
      <c r="Q7" s="127">
        <f>SUM(Q3:Q6)</f>
        <v>430</v>
      </c>
    </row>
    <row r="8" spans="2:47" ht="18.600000000000001" thickBot="1">
      <c r="B8" s="393" t="s">
        <v>7</v>
      </c>
      <c r="C8" s="394"/>
      <c r="D8" s="394"/>
      <c r="E8" s="395"/>
      <c r="F8" s="396" t="s">
        <v>8</v>
      </c>
      <c r="G8" s="397"/>
      <c r="H8" s="398" t="s">
        <v>9</v>
      </c>
      <c r="I8" s="397"/>
      <c r="J8" s="398" t="s">
        <v>10</v>
      </c>
      <c r="K8" s="397"/>
      <c r="L8" s="398" t="s">
        <v>11</v>
      </c>
      <c r="M8" s="397"/>
      <c r="N8" s="398" t="s">
        <v>12</v>
      </c>
      <c r="O8" s="397"/>
      <c r="P8" s="398" t="s">
        <v>13</v>
      </c>
      <c r="Q8" s="397"/>
      <c r="R8" s="398" t="s">
        <v>14</v>
      </c>
      <c r="S8" s="401"/>
      <c r="T8" s="393" t="s">
        <v>15</v>
      </c>
      <c r="U8" s="395"/>
      <c r="AB8" s="399">
        <v>1</v>
      </c>
      <c r="AC8" s="400"/>
      <c r="AD8" s="399">
        <v>2</v>
      </c>
      <c r="AE8" s="400"/>
      <c r="AF8" s="399">
        <v>3</v>
      </c>
      <c r="AG8" s="400"/>
      <c r="AH8" s="399">
        <v>4</v>
      </c>
      <c r="AI8" s="400"/>
      <c r="AJ8" s="399">
        <v>5</v>
      </c>
      <c r="AK8" s="400"/>
      <c r="AL8" s="399">
        <v>6</v>
      </c>
      <c r="AM8" s="400"/>
      <c r="AN8" s="399">
        <v>7</v>
      </c>
      <c r="AO8" s="400"/>
    </row>
    <row r="9" spans="2:47">
      <c r="B9" s="128">
        <v>1</v>
      </c>
      <c r="C9" s="129" t="str">
        <f>IF(C3="","",VLOOKUP(B9,$B$3:$E$6,2,FALSE))</f>
        <v>Филип Ангела (299)</v>
      </c>
      <c r="D9" s="130">
        <v>3</v>
      </c>
      <c r="E9" s="131" t="str">
        <f>IF(C5="","",VLOOKUP(D9,$B$3:$E$6,2,FALSE))</f>
        <v>Петар Јуришиќ (361)</v>
      </c>
      <c r="F9" s="132">
        <v>11</v>
      </c>
      <c r="G9" s="133">
        <v>9</v>
      </c>
      <c r="H9" s="134">
        <v>11</v>
      </c>
      <c r="I9" s="133">
        <v>7</v>
      </c>
      <c r="J9" s="132">
        <v>12</v>
      </c>
      <c r="K9" s="135">
        <v>10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Љупчо Треновски (404)</v>
      </c>
      <c r="D10" s="140">
        <v>4</v>
      </c>
      <c r="E10" s="141" t="str">
        <f>IF(C6="","",VLOOKUP(D10,$B$3:$E$6,2,FALSE))</f>
        <v>Јаков Јакимовски (538)</v>
      </c>
      <c r="F10" s="142">
        <v>7</v>
      </c>
      <c r="G10" s="143">
        <v>11</v>
      </c>
      <c r="H10" s="144">
        <v>11</v>
      </c>
      <c r="I10" s="143">
        <v>6</v>
      </c>
      <c r="J10" s="142">
        <v>11</v>
      </c>
      <c r="K10" s="145">
        <v>9</v>
      </c>
      <c r="L10" s="144">
        <v>9</v>
      </c>
      <c r="M10" s="143">
        <v>11</v>
      </c>
      <c r="N10" s="142">
        <v>11</v>
      </c>
      <c r="O10" s="145">
        <v>9</v>
      </c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0</v>
      </c>
      <c r="AI10" s="10">
        <f>IF(M10="","",IF(M10&gt;L10,1,0))</f>
        <v>1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3" t="s">
        <v>16</v>
      </c>
      <c r="C12" s="394"/>
      <c r="D12" s="394"/>
      <c r="E12" s="395"/>
      <c r="F12" s="396" t="s">
        <v>8</v>
      </c>
      <c r="G12" s="397"/>
      <c r="H12" s="398" t="s">
        <v>9</v>
      </c>
      <c r="I12" s="397"/>
      <c r="J12" s="398" t="s">
        <v>10</v>
      </c>
      <c r="K12" s="397"/>
      <c r="L12" s="398" t="s">
        <v>11</v>
      </c>
      <c r="M12" s="397"/>
      <c r="N12" s="398" t="s">
        <v>12</v>
      </c>
      <c r="O12" s="397"/>
      <c r="P12" s="398" t="s">
        <v>13</v>
      </c>
      <c r="Q12" s="397"/>
      <c r="R12" s="398" t="s">
        <v>14</v>
      </c>
      <c r="S12" s="401"/>
      <c r="T12" s="393" t="s">
        <v>15</v>
      </c>
      <c r="U12" s="395"/>
      <c r="AU12" s="150"/>
    </row>
    <row r="13" spans="2:47">
      <c r="B13" s="128">
        <v>1</v>
      </c>
      <c r="C13" s="148" t="str">
        <f>IF(C3="","",VLOOKUP(B13,$B$3:$E$6,2,FALSE))</f>
        <v>Филип Ангела (299)</v>
      </c>
      <c r="D13" s="130">
        <v>2</v>
      </c>
      <c r="E13" s="131" t="str">
        <f>IF(C4="","",VLOOKUP(D13,$B$3:$E$6,2,FALSE))</f>
        <v>Љупчо Треновски (404)</v>
      </c>
      <c r="F13" s="132">
        <v>8</v>
      </c>
      <c r="G13" s="133">
        <v>11</v>
      </c>
      <c r="H13" s="134">
        <v>11</v>
      </c>
      <c r="I13" s="133">
        <v>9</v>
      </c>
      <c r="J13" s="132">
        <v>9</v>
      </c>
      <c r="K13" s="135">
        <v>11</v>
      </c>
      <c r="L13" s="134">
        <v>11</v>
      </c>
      <c r="M13" s="133">
        <v>8</v>
      </c>
      <c r="N13" s="132">
        <v>11</v>
      </c>
      <c r="O13" s="135">
        <v>9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Петар Јуришиќ (361)</v>
      </c>
      <c r="D14" s="140">
        <v>4</v>
      </c>
      <c r="E14" s="141" t="str">
        <f>IF(C6="","",VLOOKUP(D14,$B$3:$E$6,2,FALSE))</f>
        <v>Јаков Јакимовски (538)</v>
      </c>
      <c r="F14" s="142">
        <v>5</v>
      </c>
      <c r="G14" s="143">
        <v>11</v>
      </c>
      <c r="H14" s="144">
        <v>6</v>
      </c>
      <c r="I14" s="143">
        <v>11</v>
      </c>
      <c r="J14" s="142">
        <v>0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3" t="s">
        <v>17</v>
      </c>
      <c r="C16" s="394"/>
      <c r="D16" s="394"/>
      <c r="E16" s="395"/>
      <c r="F16" s="396" t="s">
        <v>8</v>
      </c>
      <c r="G16" s="397"/>
      <c r="H16" s="398" t="s">
        <v>9</v>
      </c>
      <c r="I16" s="397"/>
      <c r="J16" s="398" t="s">
        <v>10</v>
      </c>
      <c r="K16" s="397"/>
      <c r="L16" s="398" t="s">
        <v>11</v>
      </c>
      <c r="M16" s="397"/>
      <c r="N16" s="398" t="s">
        <v>12</v>
      </c>
      <c r="O16" s="397"/>
      <c r="P16" s="398" t="s">
        <v>13</v>
      </c>
      <c r="Q16" s="397"/>
      <c r="R16" s="398" t="s">
        <v>14</v>
      </c>
      <c r="S16" s="401"/>
      <c r="T16" s="393" t="s">
        <v>15</v>
      </c>
      <c r="U16" s="395"/>
    </row>
    <row r="17" spans="2:41">
      <c r="B17" s="128">
        <v>1</v>
      </c>
      <c r="C17" s="129" t="str">
        <f>IF(C3="","",VLOOKUP(B17,$B$3:$E$6,2,FALSE))</f>
        <v>Филип Ангела (299)</v>
      </c>
      <c r="D17" s="130">
        <v>4</v>
      </c>
      <c r="E17" s="131" t="str">
        <f>IF(C6="","",VLOOKUP(D17,$B$3:$E$6,2,FALSE))</f>
        <v>Јаков Јакимовски (538)</v>
      </c>
      <c r="F17" s="132">
        <v>11</v>
      </c>
      <c r="G17" s="133">
        <v>3</v>
      </c>
      <c r="H17" s="134">
        <v>6</v>
      </c>
      <c r="I17" s="133">
        <v>11</v>
      </c>
      <c r="J17" s="132">
        <v>10</v>
      </c>
      <c r="K17" s="135">
        <v>12</v>
      </c>
      <c r="L17" s="134">
        <v>11</v>
      </c>
      <c r="M17" s="133">
        <v>6</v>
      </c>
      <c r="N17" s="132">
        <v>11</v>
      </c>
      <c r="O17" s="135">
        <v>7</v>
      </c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2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0</v>
      </c>
      <c r="AE17" s="10">
        <f>IF(I17="","",IF(I17&gt;H17,1,0))</f>
        <v>1</v>
      </c>
      <c r="AF17" s="10">
        <f>IF(J17="","",IF(J17&gt;K17,1,0))</f>
        <v>0</v>
      </c>
      <c r="AG17" s="10">
        <f>IF(K17="","",IF(K17&gt;J17,1,0))</f>
        <v>1</v>
      </c>
      <c r="AH17" s="10">
        <f>IF(L17="","",IF(L17&gt;M17,1,0))</f>
        <v>1</v>
      </c>
      <c r="AI17" s="10">
        <f>IF(M17="","",IF(M17&gt;L17,1,0))</f>
        <v>0</v>
      </c>
      <c r="AJ17" s="10">
        <f>IF(N17="","",IF(N17&gt;O17,1,0))</f>
        <v>1</v>
      </c>
      <c r="AK17" s="10">
        <f>IF(O17="","",IF(O17&gt;N17,1,0))</f>
        <v>0</v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Петар Јуришиќ (361)</v>
      </c>
      <c r="D18" s="140">
        <v>2</v>
      </c>
      <c r="E18" s="141" t="str">
        <f>IF(C4="","",VLOOKUP(D18,$B$3:$E$6,2,FALSE))</f>
        <v>Љупчо Треновски (404)</v>
      </c>
      <c r="F18" s="142">
        <v>6</v>
      </c>
      <c r="G18" s="143">
        <v>11</v>
      </c>
      <c r="H18" s="144">
        <v>2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2024-04-21T18:06:38Z</dcterms:modified>
</cp:coreProperties>
</file>